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LENOVO\Downloads\"/>
    </mc:Choice>
  </mc:AlternateContent>
  <xr:revisionPtr revIDLastSave="0" documentId="13_ncr:1_{A8544C8E-6C0B-4A96-9B22-EBDC4EF3EAE6}" xr6:coauthVersionLast="47" xr6:coauthVersionMax="47" xr10:uidLastSave="{00000000-0000-0000-0000-000000000000}"/>
  <bookViews>
    <workbookView xWindow="-120" yWindow="-120" windowWidth="20730" windowHeight="11040"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12" i="30" l="1"/>
  <c r="AE11" i="30"/>
  <c r="X13" i="30"/>
  <c r="V13" i="30"/>
  <c r="T13" i="30"/>
  <c r="P13" i="30"/>
  <c r="L13" i="30"/>
  <c r="M13" i="30" s="1"/>
  <c r="X12" i="30"/>
  <c r="V12" i="30"/>
  <c r="T12" i="30"/>
  <c r="P12" i="30"/>
  <c r="L12" i="30"/>
  <c r="M12" i="30" s="1"/>
  <c r="X11" i="30"/>
  <c r="V11" i="30"/>
  <c r="T11" i="30"/>
  <c r="P11" i="30"/>
  <c r="L11" i="30"/>
  <c r="V10" i="29"/>
  <c r="T10" i="29"/>
  <c r="R10" i="29"/>
  <c r="V9" i="29"/>
  <c r="T9" i="29"/>
  <c r="R9" i="29"/>
  <c r="N9" i="29"/>
  <c r="J9" i="29"/>
  <c r="K9" i="29" s="1"/>
  <c r="V11" i="29"/>
  <c r="T11" i="29"/>
  <c r="R11" i="29"/>
  <c r="N11" i="29"/>
  <c r="J11" i="29"/>
  <c r="W9" i="29" l="1"/>
  <c r="Y11" i="30"/>
  <c r="Y13" i="30"/>
  <c r="AC13" i="30" s="1"/>
  <c r="AD13" i="30" s="1"/>
  <c r="AE13" i="30"/>
  <c r="AF13" i="30" s="1"/>
  <c r="Y12" i="30"/>
  <c r="AC12" i="30" s="1"/>
  <c r="AD12" i="30" s="1"/>
  <c r="AC9" i="29"/>
  <c r="AC10" i="29" s="1"/>
  <c r="W10" i="29"/>
  <c r="W11" i="29"/>
  <c r="O13" i="30"/>
  <c r="Q13" i="30" s="1"/>
  <c r="AF12" i="30"/>
  <c r="O12" i="30"/>
  <c r="Q12" i="30" s="1"/>
  <c r="M11" i="30"/>
  <c r="O11" i="30"/>
  <c r="Q11" i="30" s="1"/>
  <c r="AA9" i="29"/>
  <c r="AB9" i="29" s="1"/>
  <c r="M9" i="29"/>
  <c r="O9" i="29" s="1"/>
  <c r="AC11" i="29"/>
  <c r="AD11" i="29" s="1"/>
  <c r="K11" i="29"/>
  <c r="M11" i="29"/>
  <c r="O11" i="29" s="1"/>
  <c r="AC11" i="30" l="1"/>
  <c r="AF11" i="30"/>
  <c r="AG13" i="30"/>
  <c r="AD10" i="29"/>
  <c r="AD9" i="29"/>
  <c r="AE9" i="29" s="1"/>
  <c r="AA11" i="29"/>
  <c r="AB11" i="29" s="1"/>
  <c r="AE11" i="29" s="1"/>
  <c r="AG12" i="30"/>
  <c r="AD11"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<sst xmlns="http://schemas.openxmlformats.org/spreadsheetml/2006/main" count="523" uniqueCount="298">
  <si>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</si>
  <si>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</si>
  <si>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</si>
  <si>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</si>
  <si>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</si>
  <si>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</si>
  <si>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</si>
  <si>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</si>
  <si>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</si>
  <si>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</si>
  <si>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</si>
  <si>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</si>
  <si>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</si>
  <si>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</si>
  <si>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</si>
  <si>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</si>
  <si>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</si>
  <si>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</si>
  <si>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</si>
  <si>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</si>
  <si>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</si>
  <si>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</si>
  <si>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</si>
  <si>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</si>
  <si>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</si>
  <si>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</si>
  <si>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</si>
  <si>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</si>
  <si>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</si>
  <si>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</si>
  <si>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</si>
  <si>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</si>
  <si>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</si>
  <si>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</si>
  <si>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</si>
  <si>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</si>
  <si>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</si>
  <si>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</si>
  <si>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</si>
  <si>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</si>
  <si>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</si>
  <si>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</si>
  <si>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</si>
  <si>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</si>
  <si>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</si>
  <si>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</si>
  <si>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</si>
  <si>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</si>
  <si>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</si>
  <si>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</si>
  <si>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</si>
  <si>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</si>
  <si>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</si>
  <si>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</si>
  <si>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</si>
  <si>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</si>
  <si>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</si>
  <si>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</si>
  <si>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</si>
  <si>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</si>
  <si>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</si>
  <si>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</si>
  <si>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</si>
  <si>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</si>
  <si>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</si>
  <si>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</si>
  <si>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</si>
  <si>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</si>
  <si>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</si>
  <si>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</si>
  <si>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</si>
  <si>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</si>
  <si>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</si>
  <si>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</si>
  <si>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</si>
  <si>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</si>
  <si>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</si>
  <si>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</si>
  <si>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</si>
  <si>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</si>
  <si>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</si>
  <si>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</si>
  <si>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</si>
  <si>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</si>
  <si>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</si>
  <si>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</si>
  <si>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</si>
  <si>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</si>
  <si>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</si>
  <si>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</si>
  <si>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</si>
  <si>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</si>
  <si>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</si>
  <si>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</si>
  <si>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</si>
  <si>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</si>
  <si>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</si>
  <si>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</si>
  <si>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</si>
  <si>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</si>
  <si>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</si>
  <si>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</si>
  <si>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</si>
  <si>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</si>
  <si>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</si>
  <si>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</si>
  <si>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</si>
  <si>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</si>
  <si>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</si>
  <si>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</si>
  <si>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</si>
  <si>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</si>
  <si>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</si>
  <si>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</si>
  <si>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</si>
  <si>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</si>
  <si>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</si>
  <si>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</si>
  <si>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</si>
  <si>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</si>
  <si>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</si>
  <si>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</si>
  <si>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</si>
  <si>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</si>
  <si>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</si>
  <si>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</si>
  <si>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</si>
  <si>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</si>
  <si>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</si>
  <si>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</si>
  <si>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</si>
  <si>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</si>
  <si>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</si>
  <si>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</si>
  <si>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</si>
  <si>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</si>
  <si>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</si>
  <si>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</si>
  <si>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</si>
  <si>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</si>
  <si>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</si>
  <si>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</si>
  <si>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</si>
  <si>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</si>
  <si>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</si>
  <si>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</si>
  <si>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</si>
  <si>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</si>
  <si>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</si>
  <si>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</si>
  <si>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</si>
  <si>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</si>
  <si>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</si>
  <si>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</si>
  <si>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</si>
  <si>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</si>
  <si>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</si>
  <si>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</si>
  <si>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</si>
  <si>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</si>
  <si>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</si>
  <si>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</si>
  <si>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</si>
  <si>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</si>
  <si>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</si>
  <si>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</si>
  <si>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</si>
  <si>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</si>
  <si>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</si>
  <si>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</si>
  <si>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</si>
  <si>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</si>
  <si>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</si>
  <si>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</si>
  <si>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</si>
  <si>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</si>
  <si>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</si>
  <si>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</si>
  <si>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</si>
  <si>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</si>
  <si>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</si>
  <si>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</si>
  <si>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</si>
  <si>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</si>
  <si>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</si>
  <si>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</si>
  <si>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</si>
  <si>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</si>
  <si>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</si>
  <si>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</si>
  <si>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</si>
  <si>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</si>
  <si>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</si>
  <si>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</si>
  <si>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</si>
  <si>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</si>
  <si>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</si>
  <si>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</si>
  <si>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</si>
  <si>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</si>
  <si>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</si>
  <si>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</si>
  <si>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</si>
  <si>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</si>
  <si>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</si>
  <si>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</si>
  <si>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</si>
  <si>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</si>
  <si>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</si>
  <si>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</si>
  <si>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</si>
  <si>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</si>
  <si>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</si>
  <si>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</si>
  <si>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</si>
  <si>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</si>
  <si>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</si>
  <si>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</si>
  <si>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</si>
  <si>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</si>
  <si>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</si>
  <si>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</si>
  <si>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</si>
  <si>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</si>
  <si>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</si>
  <si>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</si>
  <si>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</si>
  <si>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Falla o manipulación de la infraestructura de equipos del datacenter </t>
  </si>
  <si>
    <t xml:space="preserve">HARDWARE:
*Servidores  
COMPONENTES DE RED 
*Switches
*Router
SOFTWARE 
programas, aplicaciones,  herramientas ofimáticas o sistemas
lógicos para la ejecución de las actividades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</si>
  <si>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</si>
  <si>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</si>
  <si>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</si>
  <si>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</si>
  <si>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</si>
  <si>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</si>
  <si>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</si>
  <si>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</si>
  <si>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</si>
  <si>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</si>
  <si>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</si>
  <si>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</si>
  <si>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</si>
  <si>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</si>
  <si>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</si>
  <si>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</si>
  <si>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</si>
  <si>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</si>
  <si>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</si>
  <si>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</si>
  <si>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</si>
  <si>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</si>
  <si>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</si>
  <si>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</si>
  <si>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</si>
  <si>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</si>
  <si>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</si>
  <si>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</si>
  <si>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</si>
  <si>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</si>
  <si>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</si>
  <si>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</si>
  <si>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</si>
  <si>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</si>
  <si>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</si>
  <si>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</si>
  <si>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</si>
  <si>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</si>
  <si>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</si>
  <si>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</si>
  <si>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</si>
  <si>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</si>
  <si>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MINISTERIO DE CIENCIA, TECNOLOGÍA E INNOVACIÓN - MINCIENCIAS
MAPA DE RIESGOS DE SEGURIDAD DIGITAL VIGENCIA 2022</t>
  </si>
  <si>
    <t xml:space="preserve">SOFTWARE 
programas, aplicaciones,  herramientas ofimáticas o sistemas
lógicos para la ejecución de las actividades, Base de Datos 
INFORMACIÓN  
*Orfeo
*GINA
*SIGP
*Scienti
*MGI
*KOHA
*SUIFP
</t>
  </si>
  <si>
    <t xml:space="preserve">Falla o manipulación de los sistemas de información o data </t>
  </si>
  <si>
    <r>
      <rPr>
        <b/>
        <sz val="11"/>
        <rFont val="Arial Narrow"/>
        <family val="2"/>
      </rPr>
      <t xml:space="preserve">R68-2022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</si>
  <si>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R69-2022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</si>
  <si>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R74-2022</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</si>
  <si>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</si>
  <si>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t>* Estudio de mercado Tenable
* Estudios previos Tenable
* Ficha técnica Tenable
https://drive.google.com/drive/u/0/folders/1HrtjBqhRctFbLgmoFNK_egWUUQbCo3GE</t>
  </si>
  <si>
    <t xml:space="preserve">1. Porcentaje de adopción del Modelo de Seguridad y Privacidad de la Información (MSPI) en el Ministerio
2. Incidentes de Seguridad de la Información 
3. Variación de Incidentes de Seguridad
</t>
  </si>
  <si>
    <r>
      <rPr>
        <b/>
        <sz val="11"/>
        <rFont val="Arial Narrow"/>
        <family val="2"/>
      </rPr>
      <t xml:space="preserve">R70-2022 </t>
    </r>
    <r>
      <rPr>
        <sz val="11"/>
        <rFont val="Arial Narrow"/>
        <family val="2"/>
      </rPr>
      <t xml:space="preserve">Posibilidad  de Daño en la  Información o Data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</si>
  <si>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</si>
  <si>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</si>
  <si>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</si>
  <si>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     El riesgo afecta la imagen de  la entidad con efecto publicitario sostenido a nivel de sector administrativo, nivel departamental o municipal</t>
  </si>
  <si>
    <t xml:space="preserve">*Se realizan mesas de trabajo con los equipos de infraestructura - sistemas de información  de la Oficina de Tecnologías y Sistemas de Información), con el fin de revisar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
* Se realiza el estudio de mercado y estudios previos para la renovación de las licencias de la herramienta tecnológica Tenable Security Center Continuos View y Tenable Web Application, la cual es un apoyo para  fortalecer la implementación del Modelo de Seguridad y Privacidad de la Información - MSPI
* Se realizan análisis de vulnerabilidades a los componentes de plataforma tecnológica y aplicativos web que soporta el Sistema a través las pruebas de vulnerabilidades utilizando la solución de Tenable SC y Tenable IO y con base en la vulnerabilidades detectadas, se construye el plan de remediaciones y posteriormente fue enviado a los responsables, con el fin de que sean remediadas en el menor tiempo posible. Se planea para el siguiente trimestre realizar seguimiento al plan de remediaciones. 
* Se planea incluir temas de seguridad de la información (Taller Sensibilización en seguridad - seguridad funcional workspace), en las capacitaciones que vienen efectuando por parte del equipo de infraestructura tecnológica de la Oficina de Tecnologías y Sistemas de Información en Google Workspace nivel básico, las cuales se ejecutarán para el siguiente trimestre de la vigencia.
</t>
  </si>
  <si>
    <t>* Matriz de inventarios de activos de tecnologías de información
*Seguimiento matriz plan de trabajo tareas Seguridad de la Información - Infra, SI
*Lista de asistencia Revisión temas de Seguridad de la Información Q952 - SI
* Lista de asistencia Revisión temas de Seguridad de la Información P955 - Infra, SI
https://drive.google.com/drive/folders/11eAlwMo1gdTyopNIMp4JD5X3T9CqWrIf</t>
  </si>
  <si>
    <t>* Plan de Remediación a vulnerabilidades 
* Lista de asistencia Análisis vulnerabilidades aplicativos web - SCIENTI M965 - Asistencia
https://drive.google.com/drive/folders/107n-b1d-4tx0I00OFG67ucft24BYYmok
Capacitación, sensibilización seguridad de la información 
https://drive.google.com/drive/u/0/folders/1tv9vgy8ENKuWLe65fod4E6IszrUUXehr</t>
  </si>
  <si>
    <t>Se realiza mesa de trabajo con los equipos de infraestructura y sistemas de información de la Oficina de Tecnologías y Sistemas de Información, en la cual se establecieron fechas para el seguimiento a cada uno de los 114 controles establecidos em la norma ISO 27001 Anexo A y los métodos para la construcción de planes de contingencia para los sistemas de información.</t>
  </si>
  <si>
    <t>* Declaración de Aplicabilidad controles del anexo A de la norma ISO 27001:2013 (114 controles) D103DT03
* Listados de asistencia 
https://drive.google.com/drive/u/0/folders/1Uf4fgfOzBLNtRpsduFUofqNC4o5Jk2fJ</t>
  </si>
  <si>
    <t xml:space="preserve">* Se realiza mesa de trabajo con los equipos de infraestructura y sistemas de información de la Oficina de Tecnologías y Sistemas de Información, en la cual se definen fechas para el seguimiento a cada uno de los 114 controles establecidos en la norma ISO 27001 Anexo A.
* Se genera la guía para el respaldo de la información, con el fin de proteger la información contra la perdida de datos. Queda pendiente la normalización del documento en el sistema de gestión de calidad - GINA, lo cual se planea para el siguiente trimestre de la vigencia
* Se planea para el siguiente trimestre de la vigencia generar una matriz de responsabilidad cruzada, permitiendo identificar roles y responsabilidades de la Oficina de Tecnologías y Sistemas de Información  
</t>
  </si>
  <si>
    <t>* Se realiza mesa de trabajo con los equipos de infraestructura y sistemas de información de la Oficina de Tecnologías y Sistemas de Información, en la cual se definen fechas para el seguimiento a cada uno de los 114 controles establecidos en la norma ISO 27001 Anexo A.
* Con respecto a la implementación de un plan de recuperación de desastres, no se han asignado recursos para la implementación del plan aplicable al proceso de gestión de tecnologías y sistemas de información.</t>
  </si>
  <si>
    <t>* Declaración de Aplicabilidad controles del anexo A de la norma ISO 27001:2013 (114 controles) D103DT03
* Listados de asistencia 
https://drive.google.com/drive/u/0/folders/1Uf4fgfOzBLNtRpsduFUofqNC4o5Jk2fJ</t>
  </si>
  <si>
    <t>Gestión de Tecnologías y Sistemas de la Información
D103</t>
  </si>
  <si>
    <t xml:space="preserve">COMPONENTE DE RED:
Gestión de Tecnologías de la Información y Sistemas de Información
HARDWARE: Todos los procesos del Ministerio
SERVICIOS: Todos los procesos del Ministerio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</si>
  <si>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de la Información y Sistemas de Información
INFORMACIÓN
Todos los procesos</t>
  </si>
  <si>
    <t>COMPONENTE DE RED:
Gestión de Tecnologías de la Información y Sistemas de Información</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</si>
  <si>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de la Información y Sistemas de Información
SERVIDORES
Gestión de Tecnologías de la Información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</si>
</sst>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0"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219">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applyFill="1"/>
    <xf numFmtId="0" fontId="13" fillId="13" borderId="0" xfId="3" applyFont="1" applyFill="1" applyBorder="1" applyAlignment="1">
      <alignment horizontal="center" vertical="center"/>
    </xf>
    <xf numFmtId="0" fontId="14" fillId="0" borderId="0" xfId="3" applyFont="1" applyFill="1" applyBorder="1" applyAlignment="1">
      <alignment horizontal="center" vertical="center" wrapText="1"/>
    </xf>
    <xf numFmtId="0" fontId="12" fillId="0" borderId="0" xfId="3" applyFont="1" applyBorder="1"/>
    <xf numFmtId="0" fontId="8" fillId="0" borderId="0" xfId="3" applyFont="1" applyBorder="1"/>
    <xf numFmtId="0" fontId="11" fillId="0" borderId="0" xfId="0" applyFont="1" applyBorder="1"/>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Border="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164"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3" fillId="0" borderId="0" xfId="3" applyNumberFormat="1" applyFont="1" applyFill="1" applyBorder="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ont="1" applyFill="1" applyBorder="1" applyAlignment="1">
      <alignment vertical="center"/>
    </xf>
    <xf numFmtId="0" fontId="0" fillId="10" borderId="0" xfId="0" applyFill="1" applyAlignment="1"/>
    <xf numFmtId="0" fontId="0" fillId="0" borderId="0" xfId="0" applyAlignment="1">
      <alignment vertical="center"/>
    </xf>
    <xf numFmtId="0" fontId="8" fillId="0" borderId="0" xfId="0" applyFont="1" applyAlignment="1"/>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0" borderId="1" xfId="0" applyFont="1" applyBorder="1" applyAlignment="1">
      <alignment horizontal="center" vertical="center"/>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7"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0" borderId="9" xfId="5" applyFont="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11" fillId="9" borderId="1" xfId="0" applyFont="1" applyFill="1" applyBorder="1" applyAlignment="1" applyProtection="1">
      <alignment horizontal="center" vertical="center" wrapText="1"/>
      <protection locked="0"/>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wrapText="1"/>
    </xf>
    <xf numFmtId="0" fontId="29" fillId="0" borderId="1" xfId="0" applyFont="1" applyBorder="1" applyAlignment="1">
      <alignment vertical="top" wrapText="1"/>
    </xf>
    <xf numFmtId="0" fontId="8" fillId="11" borderId="1" xfId="0" applyFont="1" applyFill="1" applyBorder="1" applyAlignment="1">
      <alignment horizontal="justify" vertical="top" wrapText="1"/>
    </xf>
    <xf numFmtId="0" fontId="8" fillId="10" borderId="1" xfId="4" applyFont="1" applyFill="1" applyBorder="1" applyAlignment="1">
      <alignment horizontal="center" vertical="center" wrapText="1"/>
    </xf>
    <xf numFmtId="0" fontId="29" fillId="0" borderId="1" xfId="0" applyFont="1" applyBorder="1" applyAlignment="1">
      <alignment horizontal="justify" vertical="top" wrapText="1"/>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9" fillId="9" borderId="1" xfId="0" applyFont="1" applyFill="1" applyBorder="1" applyAlignment="1" applyProtection="1">
      <alignment horizontal="justify" vertical="top"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13" fillId="7"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3" fillId="6" borderId="1" xfId="3" applyFont="1" applyFill="1" applyBorder="1" applyAlignment="1">
      <alignment horizontal="center" vertical="center"/>
    </xf>
    <xf numFmtId="0" fontId="13" fillId="5" borderId="1" xfId="3" applyFont="1" applyFill="1" applyBorder="1" applyAlignment="1">
      <alignment horizontal="center" vertical="center"/>
    </xf>
    <xf numFmtId="0" fontId="17" fillId="0" borderId="0" xfId="3" applyFont="1" applyBorder="1" applyAlignment="1">
      <alignment horizontal="center" vertical="center" wrapText="1"/>
    </xf>
    <xf numFmtId="0" fontId="17" fillId="0" borderId="0" xfId="3" applyFont="1" applyBorder="1" applyAlignment="1">
      <alignment horizontal="center" wrapText="1"/>
    </xf>
    <xf numFmtId="0" fontId="13" fillId="3" borderId="0" xfId="3" applyFont="1" applyFill="1" applyBorder="1" applyAlignment="1">
      <alignment horizontal="center" vertical="center"/>
    </xf>
    <xf numFmtId="0" fontId="13" fillId="13" borderId="1" xfId="3" applyFont="1" applyFill="1" applyBorder="1" applyAlignment="1">
      <alignment horizontal="center" vertical="center"/>
    </xf>
    <xf numFmtId="0" fontId="13" fillId="4" borderId="1" xfId="3" applyFont="1" applyFill="1" applyBorder="1" applyAlignment="1">
      <alignment horizontal="center" vertical="center"/>
    </xf>
    <xf numFmtId="0" fontId="13" fillId="12" borderId="0" xfId="3" applyFont="1" applyFill="1" applyBorder="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0</xdr:row>
      <xdr:rowOff>142875</xdr:rowOff>
    </xdr:from>
    <xdr:to>
      <xdr:col>4</xdr:col>
      <xdr:colOff>1000126</xdr:colOff>
      <xdr:row>2</xdr:row>
      <xdr:rowOff>428625</xdr:rowOff>
    </xdr:to>
    <xdr:pic>
      <xdr:nvPicPr>
        <xdr:cNvPr id="2" name="Imagen 1">
          <a:extLst>
            <a:ext uri="{FF2B5EF4-FFF2-40B4-BE49-F238E27FC236}">
              <a16:creationId xmlns:a16="http://schemas.microsoft.com/office/drawing/2014/main" id="{BDCE4F73-9189-4628-972C-B1A6A1C6D7AB}"/>
            </a:ext>
          </a:extLst>
        </xdr:cNvPr>
        <xdr:cNvPicPr/>
      </xdr:nvPicPr>
      <xdr:blipFill>
        <a:blip xmlns:r="http://schemas.openxmlformats.org/officeDocument/2006/relationships" r:embed="rId1"/>
        <a:stretch>
          <a:fillRect/>
        </a:stretch>
      </xdr:blipFill>
      <xdr:spPr>
        <a:xfrm>
          <a:off x="166688" y="142875"/>
          <a:ext cx="6853238"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6" customWidth="1"/>
    <col min="2" max="2" width="13" style="4" customWidth="1"/>
    <col min="3" max="5" width="25.28515625" style="4" customWidth="1"/>
    <col min="6" max="6" width="29.85546875" style="7" customWidth="1"/>
    <col min="7" max="7" width="25.42578125" style="7" customWidth="1"/>
    <col min="8" max="8" width="29.42578125" style="7" customWidth="1"/>
    <col min="9" max="9" width="20.140625" style="7" bestFit="1" customWidth="1"/>
    <col min="10" max="10" width="14.85546875" style="7" bestFit="1" customWidth="1"/>
    <col min="11" max="11" width="9.7109375" style="7" customWidth="1"/>
    <col min="12" max="12" width="17.42578125" style="8" customWidth="1"/>
    <col min="13" max="13" width="20" style="8" customWidth="1"/>
    <col min="14" max="14" width="9.5703125" style="8" customWidth="1"/>
    <col min="15" max="15" width="18.42578125" style="8" customWidth="1"/>
    <col min="16" max="16" width="7.42578125" style="8" bestFit="1" customWidth="1"/>
    <col min="17" max="17" width="36.7109375" style="4" customWidth="1"/>
    <col min="18" max="18" width="29.7109375" style="4" customWidth="1"/>
    <col min="19" max="19" width="7" style="6" customWidth="1"/>
    <col min="20" max="20" width="5.85546875" style="54" customWidth="1"/>
    <col min="21" max="21" width="8.28515625" style="4" customWidth="1"/>
    <col min="22" max="22" width="6.28515625" style="54" customWidth="1"/>
    <col min="23" max="23" width="6.7109375" style="54" customWidth="1"/>
    <col min="24" max="26" width="3.5703125" style="4" bestFit="1" customWidth="1"/>
    <col min="27" max="27" width="7.140625" style="54" customWidth="1"/>
    <col min="28" max="32" width="7.140625" style="4" customWidth="1"/>
    <col min="33" max="33" width="35.85546875" style="4" customWidth="1"/>
    <col min="34" max="34" width="44.85546875" style="4" customWidth="1"/>
    <col min="35" max="36" width="20.42578125" style="4" customWidth="1"/>
    <col min="37" max="37" width="12.28515625" style="4" customWidth="1"/>
    <col min="38" max="38" width="13" style="4" customWidth="1"/>
    <col min="39" max="39" width="27.140625" style="9" customWidth="1"/>
    <col min="40" max="40" width="56.7109375" style="4" customWidth="1"/>
    <col min="41" max="16384" width="11.42578125" style="4"/>
  </cols>
  <sheetData>
    <row r="1" spans="1:40" ht="46.5" customHeight="1" x14ac:dyDescent="0.3">
      <c r="A1" s="167"/>
      <c r="B1" s="168"/>
      <c r="C1" s="168"/>
      <c r="D1" s="168"/>
      <c r="E1" s="168"/>
      <c r="F1" s="168"/>
      <c r="G1" s="168"/>
      <c r="H1" s="173" t="s">
        <v>211</v>
      </c>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55" t="s">
        <v>208</v>
      </c>
    </row>
    <row r="2" spans="1:40" ht="36" customHeight="1" x14ac:dyDescent="0.3">
      <c r="A2" s="169"/>
      <c r="B2" s="170"/>
      <c r="C2" s="170"/>
      <c r="D2" s="170"/>
      <c r="E2" s="170"/>
      <c r="F2" s="170"/>
      <c r="G2" s="170"/>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55" t="s">
        <v>209</v>
      </c>
    </row>
    <row r="3" spans="1:40" ht="41.25" customHeight="1" x14ac:dyDescent="0.3">
      <c r="A3" s="171"/>
      <c r="B3" s="172"/>
      <c r="C3" s="172"/>
      <c r="D3" s="172"/>
      <c r="E3" s="172"/>
      <c r="F3" s="172"/>
      <c r="G3" s="172"/>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55" t="s">
        <v>210</v>
      </c>
    </row>
    <row r="4" spans="1:40" ht="36.75" customHeight="1" x14ac:dyDescent="0.3">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row>
    <row r="5" spans="1:40" ht="55.5" customHeight="1" x14ac:dyDescent="0.3">
      <c r="A5" s="174" t="s">
        <v>68</v>
      </c>
      <c r="B5" s="175"/>
      <c r="C5" s="175"/>
      <c r="D5" s="175"/>
      <c r="E5" s="175"/>
      <c r="F5" s="175"/>
      <c r="G5" s="175"/>
      <c r="H5" s="175"/>
      <c r="I5" s="176"/>
      <c r="J5" s="180" t="s">
        <v>178</v>
      </c>
      <c r="K5" s="181"/>
      <c r="L5" s="181"/>
      <c r="M5" s="181"/>
      <c r="N5" s="182"/>
      <c r="O5" s="128"/>
      <c r="P5" s="180" t="s">
        <v>184</v>
      </c>
      <c r="Q5" s="181"/>
      <c r="R5" s="181"/>
      <c r="S5" s="181"/>
      <c r="T5" s="181"/>
      <c r="U5" s="181"/>
      <c r="V5" s="181"/>
      <c r="W5" s="181"/>
      <c r="X5" s="181"/>
      <c r="Y5" s="181"/>
      <c r="Z5" s="182"/>
      <c r="AA5" s="186" t="s">
        <v>192</v>
      </c>
      <c r="AB5" s="186"/>
      <c r="AC5" s="186"/>
      <c r="AD5" s="186"/>
      <c r="AE5" s="186"/>
      <c r="AF5" s="186"/>
      <c r="AG5" s="187" t="s">
        <v>190</v>
      </c>
      <c r="AH5" s="187"/>
      <c r="AI5" s="187"/>
      <c r="AJ5" s="187"/>
      <c r="AK5" s="187"/>
      <c r="AL5" s="187"/>
      <c r="AM5" s="187"/>
    </row>
    <row r="6" spans="1:40" ht="30.75" customHeight="1" x14ac:dyDescent="0.3">
      <c r="A6" s="177"/>
      <c r="B6" s="178"/>
      <c r="C6" s="178"/>
      <c r="D6" s="178"/>
      <c r="E6" s="178"/>
      <c r="F6" s="178"/>
      <c r="G6" s="178"/>
      <c r="H6" s="178"/>
      <c r="I6" s="179"/>
      <c r="J6" s="183"/>
      <c r="K6" s="184"/>
      <c r="L6" s="184"/>
      <c r="M6" s="184"/>
      <c r="N6" s="185"/>
      <c r="O6" s="129"/>
      <c r="P6" s="188" t="s">
        <v>179</v>
      </c>
      <c r="Q6" s="186" t="s">
        <v>183</v>
      </c>
      <c r="R6" s="186" t="s">
        <v>180</v>
      </c>
      <c r="S6" s="189" t="s">
        <v>182</v>
      </c>
      <c r="T6" s="190"/>
      <c r="U6" s="190"/>
      <c r="V6" s="190"/>
      <c r="W6" s="190"/>
      <c r="X6" s="190"/>
      <c r="Y6" s="190"/>
      <c r="Z6" s="191"/>
      <c r="AA6" s="147" t="s">
        <v>185</v>
      </c>
      <c r="AB6" s="147" t="s">
        <v>165</v>
      </c>
      <c r="AC6" s="147" t="s">
        <v>207</v>
      </c>
      <c r="AD6" s="147" t="s">
        <v>166</v>
      </c>
      <c r="AE6" s="147" t="s">
        <v>186</v>
      </c>
      <c r="AF6" s="165" t="s">
        <v>168</v>
      </c>
      <c r="AG6" s="163" t="s">
        <v>85</v>
      </c>
      <c r="AH6" s="163" t="s">
        <v>190</v>
      </c>
      <c r="AI6" s="163" t="s">
        <v>191</v>
      </c>
      <c r="AJ6" s="163" t="s">
        <v>70</v>
      </c>
      <c r="AK6" s="163" t="s">
        <v>4</v>
      </c>
      <c r="AL6" s="163" t="s">
        <v>5</v>
      </c>
      <c r="AM6" s="163" t="s">
        <v>72</v>
      </c>
    </row>
    <row r="7" spans="1:40" s="5" customFormat="1" ht="144" customHeight="1" x14ac:dyDescent="0.25">
      <c r="A7" s="56" t="s">
        <v>71</v>
      </c>
      <c r="B7" s="56" t="s">
        <v>0</v>
      </c>
      <c r="C7" s="118" t="s">
        <v>3</v>
      </c>
      <c r="D7" s="118" t="s">
        <v>102</v>
      </c>
      <c r="E7" s="118" t="s">
        <v>103</v>
      </c>
      <c r="F7" s="56" t="s">
        <v>1</v>
      </c>
      <c r="G7" s="56" t="s">
        <v>93</v>
      </c>
      <c r="H7" s="118" t="s">
        <v>104</v>
      </c>
      <c r="I7" s="118" t="s">
        <v>172</v>
      </c>
      <c r="J7" s="118" t="s">
        <v>2</v>
      </c>
      <c r="K7" s="118" t="s">
        <v>106</v>
      </c>
      <c r="L7" s="119" t="s">
        <v>205</v>
      </c>
      <c r="M7" s="119" t="s">
        <v>206</v>
      </c>
      <c r="N7" s="119" t="s">
        <v>106</v>
      </c>
      <c r="O7" s="119" t="s">
        <v>107</v>
      </c>
      <c r="P7" s="188"/>
      <c r="Q7" s="186"/>
      <c r="R7" s="186"/>
      <c r="S7" s="119" t="s">
        <v>143</v>
      </c>
      <c r="T7" s="118" t="s">
        <v>181</v>
      </c>
      <c r="U7" s="119" t="s">
        <v>144</v>
      </c>
      <c r="V7" s="118" t="s">
        <v>181</v>
      </c>
      <c r="W7" s="119" t="s">
        <v>181</v>
      </c>
      <c r="X7" s="119" t="s">
        <v>148</v>
      </c>
      <c r="Y7" s="119" t="s">
        <v>105</v>
      </c>
      <c r="Z7" s="119" t="s">
        <v>152</v>
      </c>
      <c r="AA7" s="148"/>
      <c r="AB7" s="148"/>
      <c r="AC7" s="148"/>
      <c r="AD7" s="148"/>
      <c r="AE7" s="148"/>
      <c r="AF7" s="166"/>
      <c r="AG7" s="164"/>
      <c r="AH7" s="164"/>
      <c r="AI7" s="164"/>
      <c r="AJ7" s="164"/>
      <c r="AK7" s="164"/>
      <c r="AL7" s="164"/>
      <c r="AM7" s="164"/>
    </row>
    <row r="8" spans="1:40" ht="201.75" customHeight="1" x14ac:dyDescent="0.3">
      <c r="A8" s="113">
        <v>1</v>
      </c>
      <c r="B8" s="114" t="s">
        <v>212</v>
      </c>
      <c r="C8" s="115" t="s">
        <v>213</v>
      </c>
      <c r="D8" s="114" t="s">
        <v>257</v>
      </c>
      <c r="E8" s="114" t="s">
        <v>256</v>
      </c>
      <c r="F8" s="116" t="s">
        <v>251</v>
      </c>
      <c r="G8" s="117" t="s">
        <v>214</v>
      </c>
      <c r="H8" s="109" t="s">
        <v>159</v>
      </c>
      <c r="I8" s="111" t="s">
        <v>174</v>
      </c>
      <c r="J8" s="110" t="str">
        <f>IF(I8="Máximo 2 veces por año","Muy Baja", IF(I8="De 3 a 24 veces por año","Baja", IF(I8="De 24 a 500 veces por año","Media", IF(I8="De 500 veces al año y máximo 5000 veces por año","Alta",IF(I8="Más de 5000 veces por año","Muy Alta",";")))))</f>
        <v>Baja</v>
      </c>
      <c r="K8" s="120">
        <f>IF(J8="Muy Baja", 20%, IF(J8="Baja",40%, IF(J8="Media",60%, IF(J8="Alta",80%,IF(J8="Muy Alta",100%,"")))))</f>
        <v>0.4</v>
      </c>
      <c r="L8" s="111" t="s">
        <v>197</v>
      </c>
      <c r="M8" s="107" t="str">
        <f>IF(N8=20%,"Leve",IF(N8=40%,"Menor",IF(N8=60%,"Moderado",IF(N8=80%,"Mayor","Catastrófico"))))</f>
        <v>Moderado</v>
      </c>
      <c r="N8" s="121">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122" t="str">
        <f>IF(AND(J8&lt;&gt;"",M8&lt;&gt;""),VLOOKUP(J8&amp;M8,'No Eliminar'!$N$3:$O$27,2,FALSE),"")</f>
        <v>Moderada</v>
      </c>
      <c r="P8" s="57">
        <v>1</v>
      </c>
      <c r="Q8" s="39" t="s">
        <v>263</v>
      </c>
      <c r="R8" s="59" t="str">
        <f t="shared" ref="R8:R11" si="0">IF(S8="Preventivo","Probabilidad",IF(S8="Detectivo","Probabilidad","Impacto"))</f>
        <v>Probabilidad</v>
      </c>
      <c r="S8" s="60" t="s">
        <v>21</v>
      </c>
      <c r="T8" s="61">
        <f t="shared" ref="T8:T11" si="1">IF(S8="Preventivo", 25%, IF(S8="Detectivo",15%, IF(S8="Correctivo",10%,IF(S8="No se tienen controles para aplicar al impacto","No Aplica",""))))</f>
        <v>0.25</v>
      </c>
      <c r="U8" s="60" t="s">
        <v>141</v>
      </c>
      <c r="V8" s="61">
        <f t="shared" ref="V8:V11" si="2">IF(U8="Automático", 25%, IF(U8="Manual",15%,IF(U8="No Aplica", "No Aplica","")))</f>
        <v>0.15</v>
      </c>
      <c r="W8" s="64">
        <f t="shared" ref="W8:W11" si="3">T8+V8</f>
        <v>0.4</v>
      </c>
      <c r="X8" s="60" t="s">
        <v>146</v>
      </c>
      <c r="Y8" s="60" t="s">
        <v>150</v>
      </c>
      <c r="Z8" s="60" t="s">
        <v>154</v>
      </c>
      <c r="AA8" s="64">
        <f>IFERROR(IF(R8="Probabilidad",(K8-(+K8*W8)),IF(R8="Impacto",K8,"")),"")</f>
        <v>0.24</v>
      </c>
      <c r="AB8" s="65" t="str">
        <f t="shared" ref="AB8:AB11" si="4">IF(AA8&lt;=20%, "Muy Baja", IF(AA8&lt;=40%,"Baja", IF(AA8&lt;=60%,"Media",IF(AA8&lt;=80%,"Alta","Muy Alta"))))</f>
        <v>Baja</v>
      </c>
      <c r="AC8" s="66">
        <f>IF(R8="Impacto",(N8-(+N8*W8)),N8)</f>
        <v>0.6</v>
      </c>
      <c r="AD8" s="65" t="str">
        <f>IF(AC8&lt;=20%, "Leve", IF(AC8&lt;=40%,"Menor", IF(AC8&lt;=60%,"Moderado",IF(AC8&lt;=80%,"Mayor","Catastrófico"))))</f>
        <v>Moderado</v>
      </c>
      <c r="AE8" s="108" t="str">
        <f>IF(AND(AB8&lt;&gt;"",AD8&lt;&gt;""),VLOOKUP(AB8&amp;AD8,'No Eliminar'!$N$3:$O$27,2,FALSE),"")</f>
        <v>Moderada</v>
      </c>
      <c r="AF8" s="60" t="s">
        <v>84</v>
      </c>
      <c r="AG8" s="106" t="s">
        <v>215</v>
      </c>
      <c r="AH8" s="130" t="s">
        <v>239</v>
      </c>
      <c r="AI8" s="131" t="s">
        <v>216</v>
      </c>
      <c r="AJ8" s="131" t="s">
        <v>225</v>
      </c>
      <c r="AK8" s="131" t="s">
        <v>218</v>
      </c>
      <c r="AL8" s="131" t="s">
        <v>217</v>
      </c>
      <c r="AM8" s="131" t="s">
        <v>238</v>
      </c>
      <c r="AN8" s="73"/>
    </row>
    <row r="9" spans="1:40" ht="105.75" customHeight="1" x14ac:dyDescent="0.3">
      <c r="A9" s="139">
        <v>2</v>
      </c>
      <c r="B9" s="140" t="s">
        <v>212</v>
      </c>
      <c r="C9" s="141" t="s">
        <v>213</v>
      </c>
      <c r="D9" s="114" t="s">
        <v>231</v>
      </c>
      <c r="E9" s="141" t="s">
        <v>230</v>
      </c>
      <c r="F9" s="143" t="s">
        <v>241</v>
      </c>
      <c r="G9" s="145" t="s">
        <v>233</v>
      </c>
      <c r="H9" s="157" t="s">
        <v>156</v>
      </c>
      <c r="I9" s="159" t="s">
        <v>174</v>
      </c>
      <c r="J9" s="161" t="str">
        <f>IF(I9="Máximo 2 veces por año","Muy Baja", IF(I9="De 3 a 24 veces por año","Baja", IF(I9="De 24 a 500 veces por año","Media", IF(I9="De 500 veces al año y máximo 5000 veces por año","Alta",IF(I9="Más de 5000 veces por año","Muy Alta",";")))))</f>
        <v>Baja</v>
      </c>
      <c r="K9" s="156">
        <f>IF(J9="Muy Baja", 20%, IF(J9="Baja",40%, IF(J9="Media",60%, IF(J9="Alta",80%,IF(J9="Muy Alta",100%,"")))))</f>
        <v>0.4</v>
      </c>
      <c r="L9" s="159" t="s">
        <v>197</v>
      </c>
      <c r="M9" s="149" t="str">
        <f>IF(N9=20%,"Leve",IF(N9=40%,"Menor",IF(N9=60%,"Moderado",IF(N9=80%,"Mayor","Catastrófico"))))</f>
        <v>Moderado</v>
      </c>
      <c r="N9" s="151">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53" t="str">
        <f>IF(AND(J9&lt;&gt;"",M9&lt;&gt;""),VLOOKUP(J9&amp;M9,'No Eliminar'!$N$3:$O$27,2,FALSE),"")</f>
        <v>Moderada</v>
      </c>
      <c r="P9" s="57">
        <v>1</v>
      </c>
      <c r="Q9" s="39" t="s">
        <v>260</v>
      </c>
      <c r="R9" s="59" t="str">
        <f t="shared" si="0"/>
        <v>Probabilidad</v>
      </c>
      <c r="S9" s="60" t="s">
        <v>21</v>
      </c>
      <c r="T9" s="61">
        <f t="shared" si="1"/>
        <v>0.25</v>
      </c>
      <c r="U9" s="60" t="s">
        <v>141</v>
      </c>
      <c r="V9" s="61">
        <f t="shared" si="2"/>
        <v>0.15</v>
      </c>
      <c r="W9" s="64">
        <f t="shared" si="3"/>
        <v>0.4</v>
      </c>
      <c r="X9" s="60" t="s">
        <v>146</v>
      </c>
      <c r="Y9" s="60" t="s">
        <v>150</v>
      </c>
      <c r="Z9" s="60" t="s">
        <v>154</v>
      </c>
      <c r="AA9" s="64">
        <f>IFERROR(IF(R9="Probabilidad",(K9-(+K9*W9)),IF(R9="Impacto",K9,"")),"")</f>
        <v>0.24</v>
      </c>
      <c r="AB9" s="65" t="str">
        <f t="shared" si="4"/>
        <v>Baja</v>
      </c>
      <c r="AC9" s="66">
        <f>IF(R9="Impacto",(N9-(+N9*W9)),N9)</f>
        <v>0.6</v>
      </c>
      <c r="AD9" s="65" t="str">
        <f>IF(AC9&lt;=20%, "Leve", IF(AC9&lt;=40%,"Menor", IF(AC9&lt;=60%,"Moderado",IF(AC9&lt;=80%,"Mayor","Catastrófico"))))</f>
        <v>Moderado</v>
      </c>
      <c r="AE9" s="108" t="str">
        <f>IF(AND(AB9&lt;&gt;"",AD9&lt;&gt;""),VLOOKUP(AB9&amp;AD9,'No Eliminar'!$N$3:$O$27,2,FALSE),"")</f>
        <v>Moderada</v>
      </c>
      <c r="AF9" s="60" t="s">
        <v>84</v>
      </c>
      <c r="AG9" s="137" t="s">
        <v>249</v>
      </c>
      <c r="AH9" s="137" t="s">
        <v>252</v>
      </c>
      <c r="AI9" s="137" t="s">
        <v>216</v>
      </c>
      <c r="AJ9" s="137" t="s">
        <v>225</v>
      </c>
      <c r="AK9" s="137" t="s">
        <v>218</v>
      </c>
      <c r="AL9" s="137" t="s">
        <v>217</v>
      </c>
      <c r="AM9" s="137" t="s">
        <v>253</v>
      </c>
    </row>
    <row r="10" spans="1:40" ht="105.75" customHeight="1" x14ac:dyDescent="0.3">
      <c r="A10" s="139"/>
      <c r="B10" s="140"/>
      <c r="C10" s="142"/>
      <c r="D10" s="114" t="s">
        <v>232</v>
      </c>
      <c r="E10" s="155"/>
      <c r="F10" s="144"/>
      <c r="G10" s="146"/>
      <c r="H10" s="158"/>
      <c r="I10" s="160"/>
      <c r="J10" s="162"/>
      <c r="K10" s="156"/>
      <c r="L10" s="160"/>
      <c r="M10" s="150"/>
      <c r="N10" s="152"/>
      <c r="O10" s="154"/>
      <c r="P10" s="57">
        <v>2</v>
      </c>
      <c r="Q10" s="39" t="s">
        <v>262</v>
      </c>
      <c r="R10" s="59" t="str">
        <f t="shared" si="0"/>
        <v>Probabilidad</v>
      </c>
      <c r="S10" s="60" t="s">
        <v>21</v>
      </c>
      <c r="T10" s="61">
        <f t="shared" si="1"/>
        <v>0.25</v>
      </c>
      <c r="U10" s="60" t="s">
        <v>141</v>
      </c>
      <c r="V10" s="61">
        <f t="shared" si="2"/>
        <v>0.15</v>
      </c>
      <c r="W10" s="64">
        <f t="shared" si="3"/>
        <v>0.4</v>
      </c>
      <c r="X10" s="60" t="s">
        <v>146</v>
      </c>
      <c r="Y10" s="60" t="s">
        <v>150</v>
      </c>
      <c r="Z10" s="60" t="s">
        <v>154</v>
      </c>
      <c r="AA10" s="64">
        <f>IFERROR(IF(AND(R9="Probabilidad",R10="Probabilidad"),(AA9-(+AA9*W10)),IF(R10="Probabilidad",(K9-(+K9*W10)),IF(R10="Impacto",AA9,""))),"")</f>
        <v>0.14399999999999999</v>
      </c>
      <c r="AB10" s="65" t="str">
        <f t="shared" si="4"/>
        <v>Muy Baja</v>
      </c>
      <c r="AC10" s="66">
        <f>IF(R10="Impacto",(AC9-(+AC9*W10)),AC9)</f>
        <v>0.6</v>
      </c>
      <c r="AD10" s="65" t="str">
        <f t="shared" ref="AD10" si="5">IF(AC10&lt;=20%, "Leve", IF(AC10&lt;=40%,"Menor", IF(AC10&lt;=60%,"Moderado",IF(AC10&lt;=80%,"Mayor","Catastrófico"))))</f>
        <v>Moderado</v>
      </c>
      <c r="AE10" s="108" t="str">
        <f>IF(AND(AB10&lt;&gt;"",AD10&lt;&gt;""),VLOOKUP(AB10&amp;AD10,'No Eliminar'!$N$3:$O$27,2,FALSE),"")</f>
        <v>Moderada</v>
      </c>
      <c r="AF10" s="60" t="s">
        <v>84</v>
      </c>
      <c r="AG10" s="138"/>
      <c r="AH10" s="138"/>
      <c r="AI10" s="138"/>
      <c r="AJ10" s="138"/>
      <c r="AK10" s="138"/>
      <c r="AL10" s="138"/>
      <c r="AM10" s="138"/>
    </row>
    <row r="11" spans="1:40" ht="141" customHeight="1" x14ac:dyDescent="0.3">
      <c r="A11" s="113">
        <v>3</v>
      </c>
      <c r="B11" s="114" t="s">
        <v>212</v>
      </c>
      <c r="C11" s="114" t="s">
        <v>213</v>
      </c>
      <c r="D11" s="114" t="s">
        <v>234</v>
      </c>
      <c r="E11" s="114" t="s">
        <v>254</v>
      </c>
      <c r="F11" s="116" t="s">
        <v>242</v>
      </c>
      <c r="G11" s="117" t="s">
        <v>235</v>
      </c>
      <c r="H11" s="109" t="s">
        <v>156</v>
      </c>
      <c r="I11" s="111" t="s">
        <v>175</v>
      </c>
      <c r="J11" s="110" t="str">
        <f>IF(I11="Máximo 2 veces por año","Muy Baja", IF(I11="De 3 a 24 veces por año","Baja", IF(I11="De 24 a 500 veces por año","Media", IF(I11="De 500 veces al año y máximo 5000 veces por año","Alta",IF(I11="Más de 5000 veces por año","Muy Alta",";")))))</f>
        <v>Media</v>
      </c>
      <c r="K11" s="108">
        <f>IF(J11="Muy Baja", 20%, IF(J11="Baja",40%, IF(J11="Media",60%, IF(J11="Alta",80%,IF(J11="Muy Alta",100%,"")))))</f>
        <v>0.6</v>
      </c>
      <c r="L11" s="111" t="s">
        <v>199</v>
      </c>
      <c r="M11" s="107" t="str">
        <f>IF(N11=20%,"Leve",IF(N11=40%,"Menor",IF(N11=60%,"Moderado",IF(N11=80%,"Mayor","Catastrófico"))))</f>
        <v>Catastrófico</v>
      </c>
      <c r="N11" s="121">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122" t="str">
        <f>IF(AND(J11&lt;&gt;"",M11&lt;&gt;""),VLOOKUP(J11&amp;M11,'No Eliminar'!$N$3:$O$27,2,FALSE),"")</f>
        <v>Extrema</v>
      </c>
      <c r="P11" s="57">
        <v>1</v>
      </c>
      <c r="Q11" s="39" t="s">
        <v>261</v>
      </c>
      <c r="R11" s="59" t="str">
        <f t="shared" si="0"/>
        <v>Probabilidad</v>
      </c>
      <c r="S11" s="60" t="s">
        <v>21</v>
      </c>
      <c r="T11" s="61">
        <f t="shared" si="1"/>
        <v>0.25</v>
      </c>
      <c r="U11" s="60" t="s">
        <v>141</v>
      </c>
      <c r="V11" s="61">
        <f t="shared" si="2"/>
        <v>0.15</v>
      </c>
      <c r="W11" s="64">
        <f t="shared" si="3"/>
        <v>0.4</v>
      </c>
      <c r="X11" s="60" t="s">
        <v>146</v>
      </c>
      <c r="Y11" s="60" t="s">
        <v>150</v>
      </c>
      <c r="Z11" s="60" t="s">
        <v>154</v>
      </c>
      <c r="AA11" s="64">
        <f>IFERROR(IF(R11="Probabilidad",(K11-(+K11*W11)),IF(R11="Impacto",K11,"")),"")</f>
        <v>0.36</v>
      </c>
      <c r="AB11" s="65" t="str">
        <f t="shared" si="4"/>
        <v>Baja</v>
      </c>
      <c r="AC11" s="66">
        <f>IF(R11="Impacto",(N11-(+N11*W11)),N11)</f>
        <v>1</v>
      </c>
      <c r="AD11" s="65" t="str">
        <f>IF(AC11&lt;=20%, "Leve", IF(AC11&lt;=40%,"Menor", IF(AC11&lt;=60%,"Moderado",IF(AC11&lt;=80%,"Mayor","Catastrófico"))))</f>
        <v>Catastrófico</v>
      </c>
      <c r="AE11" s="108" t="str">
        <f>IF(AND(AB11&lt;&gt;"",AD11&lt;&gt;""),VLOOKUP(AB11&amp;AD11,'No Eliminar'!$N$3:$O$27,2,FALSE),"")</f>
        <v>Extrema</v>
      </c>
      <c r="AF11" s="60" t="s">
        <v>84</v>
      </c>
      <c r="AG11" s="106" t="s">
        <v>250</v>
      </c>
      <c r="AH11" s="106" t="s">
        <v>240</v>
      </c>
      <c r="AI11" s="106" t="s">
        <v>255</v>
      </c>
      <c r="AJ11" s="106" t="s">
        <v>236</v>
      </c>
      <c r="AK11" s="124">
        <v>44197</v>
      </c>
      <c r="AL11" s="124">
        <v>44561</v>
      </c>
      <c r="AM11" s="106" t="s">
        <v>237</v>
      </c>
    </row>
  </sheetData>
  <mergeCells count="46">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 ref="AH6:AH7"/>
    <mergeCell ref="AI6:AI7"/>
    <mergeCell ref="AF6:AF7"/>
    <mergeCell ref="AC6:AC7"/>
    <mergeCell ref="AD6:AD7"/>
    <mergeCell ref="AG6:AG7"/>
    <mergeCell ref="AE6:AE7"/>
    <mergeCell ref="AB6:AB7"/>
    <mergeCell ref="M9:M10"/>
    <mergeCell ref="N9:N10"/>
    <mergeCell ref="O9:O10"/>
    <mergeCell ref="E9:E10"/>
    <mergeCell ref="K9:K10"/>
    <mergeCell ref="H9:H10"/>
    <mergeCell ref="I9:I10"/>
    <mergeCell ref="J9:J10"/>
    <mergeCell ref="L9:L10"/>
    <mergeCell ref="AA6:AA7"/>
    <mergeCell ref="A9:A10"/>
    <mergeCell ref="B9:B10"/>
    <mergeCell ref="C9:C10"/>
    <mergeCell ref="F9:F10"/>
    <mergeCell ref="G9:G10"/>
    <mergeCell ref="AL9:AL10"/>
    <mergeCell ref="AM9:AM10"/>
    <mergeCell ref="AG9:AG10"/>
    <mergeCell ref="AH9:AH10"/>
    <mergeCell ref="AI9:AI10"/>
    <mergeCell ref="AJ9:AJ10"/>
    <mergeCell ref="AK9:AK10"/>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E10" zoomScaleNormal="100" zoomScaleSheetLayoutView="40" workbookViewId="0">
      <selection activeCell="H12" sqref="H12"/>
    </sheetView>
  </sheetViews>
  <sheetFormatPr baseColWidth="10" defaultColWidth="11.42578125" defaultRowHeight="16.5" x14ac:dyDescent="0.3"/>
  <cols>
    <col min="1" max="1" width="8" style="6" customWidth="1"/>
    <col min="2" max="2" width="13" style="4" customWidth="1"/>
    <col min="3" max="3" width="25.28515625" style="4" customWidth="1"/>
    <col min="4" max="4" width="44" style="7" customWidth="1"/>
    <col min="5" max="5" width="25.42578125" style="7" customWidth="1"/>
    <col min="6" max="10" width="29.42578125" style="7" customWidth="1"/>
    <col min="11" max="11" width="20.140625" style="7" bestFit="1" customWidth="1"/>
    <col min="12" max="12" width="14.85546875" style="7" bestFit="1" customWidth="1"/>
    <col min="13" max="13" width="8.42578125" style="7" customWidth="1"/>
    <col min="14" max="14" width="14.28515625" style="8" customWidth="1"/>
    <col min="15" max="15" width="10.42578125" style="8" customWidth="1"/>
    <col min="16" max="16" width="8.85546875" style="8" customWidth="1"/>
    <col min="17" max="17" width="18.42578125" style="8" customWidth="1"/>
    <col min="18" max="18" width="7.42578125" style="8" bestFit="1" customWidth="1"/>
    <col min="19" max="19" width="54.28515625" style="4" customWidth="1"/>
    <col min="20" max="20" width="29.7109375" style="4" customWidth="1"/>
    <col min="21" max="21" width="7" style="6" customWidth="1"/>
    <col min="22" max="22" width="1.5703125" style="54" hidden="1" customWidth="1"/>
    <col min="23" max="23" width="8.28515625" style="4" customWidth="1"/>
    <col min="24" max="24" width="4.28515625" style="54" hidden="1" customWidth="1"/>
    <col min="25" max="25" width="6.7109375" style="54" customWidth="1"/>
    <col min="26" max="28" width="3.5703125" style="4" bestFit="1" customWidth="1"/>
    <col min="29" max="29" width="7.140625" style="54" customWidth="1"/>
    <col min="30" max="30" width="7.140625" style="4" customWidth="1"/>
    <col min="31" max="31" width="7.7109375" style="4" customWidth="1"/>
    <col min="32" max="34" width="7.140625" style="4" customWidth="1"/>
    <col min="35" max="35" width="35.85546875" style="4" customWidth="1"/>
    <col min="36" max="36" width="66.140625" style="4" customWidth="1"/>
    <col min="37" max="38" width="20.42578125" style="4" customWidth="1"/>
    <col min="39" max="39" width="12.28515625" style="4" customWidth="1"/>
    <col min="40" max="40" width="13" style="4" customWidth="1"/>
    <col min="41" max="41" width="69.42578125" style="9" customWidth="1"/>
    <col min="42" max="42" width="82.85546875" style="4" customWidth="1"/>
    <col min="43" max="43" width="49.5703125" style="4" customWidth="1"/>
    <col min="44" max="16384" width="11.42578125" style="4"/>
  </cols>
  <sheetData>
    <row r="1" spans="1:43" ht="46.5" customHeight="1" x14ac:dyDescent="0.3">
      <c r="A1" s="167"/>
      <c r="B1" s="168"/>
      <c r="C1" s="168"/>
      <c r="D1" s="168"/>
      <c r="E1" s="168"/>
      <c r="F1" s="201" t="s">
        <v>271</v>
      </c>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55" t="s">
        <v>208</v>
      </c>
    </row>
    <row r="2" spans="1:43" ht="36" customHeight="1" x14ac:dyDescent="0.3">
      <c r="A2" s="169"/>
      <c r="B2" s="170"/>
      <c r="C2" s="170"/>
      <c r="D2" s="170"/>
      <c r="E2" s="170"/>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55" t="s">
        <v>209</v>
      </c>
    </row>
    <row r="3" spans="1:43" ht="41.25" customHeight="1" x14ac:dyDescent="0.3">
      <c r="A3" s="171"/>
      <c r="B3" s="172"/>
      <c r="C3" s="172"/>
      <c r="D3" s="172"/>
      <c r="E3" s="17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55" t="s">
        <v>210</v>
      </c>
    </row>
    <row r="4" spans="1:43" ht="36.75" customHeight="1" x14ac:dyDescent="0.3">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row>
    <row r="5" spans="1:43" ht="55.5" customHeight="1" x14ac:dyDescent="0.3">
      <c r="A5" s="174" t="s">
        <v>68</v>
      </c>
      <c r="B5" s="175"/>
      <c r="C5" s="175"/>
      <c r="D5" s="175"/>
      <c r="E5" s="175"/>
      <c r="F5" s="175"/>
      <c r="G5" s="175"/>
      <c r="H5" s="175"/>
      <c r="I5" s="175"/>
      <c r="J5" s="175"/>
      <c r="K5" s="176"/>
      <c r="L5" s="180" t="s">
        <v>178</v>
      </c>
      <c r="M5" s="181"/>
      <c r="N5" s="181"/>
      <c r="O5" s="181"/>
      <c r="P5" s="182"/>
      <c r="Q5" s="98"/>
      <c r="R5" s="180" t="s">
        <v>184</v>
      </c>
      <c r="S5" s="181"/>
      <c r="T5" s="181"/>
      <c r="U5" s="181"/>
      <c r="V5" s="181"/>
      <c r="W5" s="181"/>
      <c r="X5" s="181"/>
      <c r="Y5" s="181"/>
      <c r="Z5" s="181"/>
      <c r="AA5" s="181"/>
      <c r="AB5" s="182"/>
      <c r="AC5" s="186" t="s">
        <v>192</v>
      </c>
      <c r="AD5" s="186"/>
      <c r="AE5" s="186"/>
      <c r="AF5" s="186"/>
      <c r="AG5" s="186"/>
      <c r="AH5" s="186"/>
      <c r="AI5" s="187" t="s">
        <v>190</v>
      </c>
      <c r="AJ5" s="187"/>
      <c r="AK5" s="187"/>
      <c r="AL5" s="187"/>
      <c r="AM5" s="187"/>
      <c r="AN5" s="187"/>
      <c r="AO5" s="187"/>
    </row>
    <row r="6" spans="1:43" ht="30.75" customHeight="1" x14ac:dyDescent="0.3">
      <c r="A6" s="177"/>
      <c r="B6" s="178"/>
      <c r="C6" s="178"/>
      <c r="D6" s="178"/>
      <c r="E6" s="178"/>
      <c r="F6" s="178"/>
      <c r="G6" s="178"/>
      <c r="H6" s="178"/>
      <c r="I6" s="178"/>
      <c r="J6" s="178"/>
      <c r="K6" s="179"/>
      <c r="L6" s="183"/>
      <c r="M6" s="184"/>
      <c r="N6" s="184"/>
      <c r="O6" s="184"/>
      <c r="P6" s="185"/>
      <c r="Q6" s="99"/>
      <c r="R6" s="188" t="s">
        <v>179</v>
      </c>
      <c r="S6" s="186" t="s">
        <v>183</v>
      </c>
      <c r="T6" s="186" t="s">
        <v>180</v>
      </c>
      <c r="U6" s="189" t="s">
        <v>182</v>
      </c>
      <c r="V6" s="190"/>
      <c r="W6" s="190"/>
      <c r="X6" s="190"/>
      <c r="Y6" s="190"/>
      <c r="Z6" s="190"/>
      <c r="AA6" s="190"/>
      <c r="AB6" s="191"/>
      <c r="AC6" s="147" t="s">
        <v>185</v>
      </c>
      <c r="AD6" s="147" t="s">
        <v>165</v>
      </c>
      <c r="AE6" s="147" t="s">
        <v>207</v>
      </c>
      <c r="AF6" s="147" t="s">
        <v>166</v>
      </c>
      <c r="AG6" s="147" t="s">
        <v>186</v>
      </c>
      <c r="AH6" s="165" t="s">
        <v>168</v>
      </c>
      <c r="AI6" s="163" t="s">
        <v>85</v>
      </c>
      <c r="AJ6" s="163" t="s">
        <v>190</v>
      </c>
      <c r="AK6" s="163" t="s">
        <v>191</v>
      </c>
      <c r="AL6" s="163" t="s">
        <v>70</v>
      </c>
      <c r="AM6" s="163" t="s">
        <v>4</v>
      </c>
      <c r="AN6" s="163" t="s">
        <v>5</v>
      </c>
      <c r="AO6" s="163" t="s">
        <v>72</v>
      </c>
      <c r="AP6" s="163" t="s">
        <v>264</v>
      </c>
      <c r="AQ6" s="163" t="s">
        <v>265</v>
      </c>
    </row>
    <row r="7" spans="1:43" s="5" customFormat="1" ht="144" customHeight="1" x14ac:dyDescent="0.25">
      <c r="A7" s="56" t="s">
        <v>71</v>
      </c>
      <c r="B7" s="56" t="s">
        <v>0</v>
      </c>
      <c r="C7" s="85" t="s">
        <v>3</v>
      </c>
      <c r="D7" s="56" t="s">
        <v>1</v>
      </c>
      <c r="E7" s="56" t="s">
        <v>93</v>
      </c>
      <c r="F7" s="85" t="s">
        <v>104</v>
      </c>
      <c r="G7" s="85" t="s">
        <v>97</v>
      </c>
      <c r="H7" s="85" t="s">
        <v>169</v>
      </c>
      <c r="I7" s="85" t="s">
        <v>98</v>
      </c>
      <c r="J7" s="85" t="s">
        <v>99</v>
      </c>
      <c r="K7" s="85" t="s">
        <v>172</v>
      </c>
      <c r="L7" s="85" t="s">
        <v>2</v>
      </c>
      <c r="M7" s="85" t="s">
        <v>106</v>
      </c>
      <c r="N7" s="86" t="s">
        <v>205</v>
      </c>
      <c r="O7" s="86" t="s">
        <v>206</v>
      </c>
      <c r="P7" s="86" t="s">
        <v>106</v>
      </c>
      <c r="Q7" s="86" t="s">
        <v>107</v>
      </c>
      <c r="R7" s="188"/>
      <c r="S7" s="186"/>
      <c r="T7" s="186"/>
      <c r="U7" s="86" t="s">
        <v>143</v>
      </c>
      <c r="V7" s="85" t="s">
        <v>181</v>
      </c>
      <c r="W7" s="86" t="s">
        <v>144</v>
      </c>
      <c r="X7" s="85" t="s">
        <v>181</v>
      </c>
      <c r="Y7" s="86" t="s">
        <v>181</v>
      </c>
      <c r="Z7" s="86" t="s">
        <v>148</v>
      </c>
      <c r="AA7" s="86" t="s">
        <v>105</v>
      </c>
      <c r="AB7" s="86" t="s">
        <v>152</v>
      </c>
      <c r="AC7" s="148"/>
      <c r="AD7" s="148"/>
      <c r="AE7" s="148"/>
      <c r="AF7" s="148"/>
      <c r="AG7" s="148"/>
      <c r="AH7" s="166"/>
      <c r="AI7" s="164"/>
      <c r="AJ7" s="164"/>
      <c r="AK7" s="164"/>
      <c r="AL7" s="164"/>
      <c r="AM7" s="164"/>
      <c r="AN7" s="164"/>
      <c r="AO7" s="164"/>
      <c r="AP7" s="164"/>
      <c r="AQ7" s="164"/>
    </row>
    <row r="8" spans="1:43" ht="105.75" customHeight="1" x14ac:dyDescent="0.3">
      <c r="A8" s="139">
        <v>1</v>
      </c>
      <c r="B8" s="140" t="s">
        <v>293</v>
      </c>
      <c r="C8" s="141" t="s">
        <v>213</v>
      </c>
      <c r="D8" s="143" t="s">
        <v>274</v>
      </c>
      <c r="E8" s="145" t="s">
        <v>214</v>
      </c>
      <c r="F8" s="157" t="s">
        <v>159</v>
      </c>
      <c r="G8" s="203" t="s">
        <v>219</v>
      </c>
      <c r="H8" s="203" t="s">
        <v>294</v>
      </c>
      <c r="I8" s="203" t="s">
        <v>220</v>
      </c>
      <c r="J8" s="100" t="s">
        <v>221</v>
      </c>
      <c r="K8" s="159" t="s">
        <v>177</v>
      </c>
      <c r="L8" s="205" t="str">
        <f>IF(K8="Máximo 2 veces por año","Muy Baja", IF(K8="De 3 a 24 veces por año","Baja", IF(K8="De 24 a 500 veces por año","Media", IF(K8="De 500 veces al año y máximo 5000 veces por año","Alta",IF(K8="Más de 5000 veces por año","Muy Alta",";")))))</f>
        <v>Muy Alta</v>
      </c>
      <c r="M8" s="206">
        <f>IF(L8="Muy Baja", 20%, IF(L8="Baja",40%, IF(L8="Media",60%, IF(L8="Alta",80%,IF(L8="Muy Alta",100%,"")))))</f>
        <v>1</v>
      </c>
      <c r="N8" s="159" t="s">
        <v>197</v>
      </c>
      <c r="O8" s="149" t="str">
        <f>IF(P8=20%,"Leve",IF(P8=40%,"Menor",IF(P8=60%,"Moderado",IF(P8=80%,"Mayor","Catastrófico"))))</f>
        <v>Moderado</v>
      </c>
      <c r="P8" s="151">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53" t="str">
        <f>IF(AND(L8&lt;&gt;"",O8&lt;&gt;""),VLOOKUP(L8&amp;O8,'No Eliminar'!$N$3:$O$27,2,FALSE),"")</f>
        <v>Alta</v>
      </c>
      <c r="R8" s="57">
        <v>1</v>
      </c>
      <c r="S8" s="39" t="s">
        <v>267</v>
      </c>
      <c r="T8" s="59" t="str">
        <f t="shared" ref="T8:T13" si="0">IF(U8="Preventivo","Probabilidad",IF(U8="Detectivo","Probabilidad","Impacto"))</f>
        <v>Probabilidad</v>
      </c>
      <c r="U8" s="60" t="s">
        <v>21</v>
      </c>
      <c r="V8" s="61">
        <f t="shared" ref="V8:V13" si="1">IF(U8="Preventivo", 25%, IF(U8="Detectivo",15%, IF(U8="Correctivo",10%,IF(U8="No se tienen controles para aplicar al impacto","No Aplica",""))))</f>
        <v>0.25</v>
      </c>
      <c r="W8" s="60" t="s">
        <v>141</v>
      </c>
      <c r="X8" s="61">
        <f t="shared" ref="X8:X13" si="2">IF(W8="Automático", 25%, IF(W8="Manual",15%,IF(W8="No Aplica", "No Aplica","")))</f>
        <v>0.15</v>
      </c>
      <c r="Y8" s="64">
        <f t="shared" ref="Y8:Y13" si="3">V8+X8</f>
        <v>0.4</v>
      </c>
      <c r="Z8" s="60" t="s">
        <v>146</v>
      </c>
      <c r="AA8" s="60" t="s">
        <v>150</v>
      </c>
      <c r="AB8" s="60" t="s">
        <v>154</v>
      </c>
      <c r="AC8" s="64">
        <f>IFERROR(IF(T8="Probabilidad",(M8-(+M8*Y8)),IF(T8="Impacto",M8,"")),"")</f>
        <v>0.6</v>
      </c>
      <c r="AD8" s="65" t="str">
        <f t="shared" ref="AD8:AD13" si="4">IF(AC8&lt;=20%, "Muy Baja", IF(AC8&lt;=40%,"Baja", IF(AC8&lt;=60%,"Media",IF(AC8&lt;=80%,"Alta","Muy Alta"))))</f>
        <v>Media</v>
      </c>
      <c r="AE8" s="66">
        <f>IF(T8="Impacto",(P8-(+P8*Y8)),P8)</f>
        <v>0.6</v>
      </c>
      <c r="AF8" s="65" t="str">
        <f t="shared" ref="AF8:AF12" si="5">IF(AE8&lt;=20%, "Leve", IF(AE8&lt;=40%,"Menor", IF(AE8&lt;=60%,"Moderado",IF(AE8&lt;=80%,"Mayor","Catastrófico"))))</f>
        <v>Moderado</v>
      </c>
      <c r="AG8" s="76" t="str">
        <f>IF(AND(AD8&lt;&gt;"",AF8&lt;&gt;""),VLOOKUP(AD8&amp;AF8,'No Eliminar'!$N$3:$O$27,2,FALSE),"")</f>
        <v>Moderada</v>
      </c>
      <c r="AH8" s="60" t="s">
        <v>84</v>
      </c>
      <c r="AI8" s="204" t="s">
        <v>245</v>
      </c>
      <c r="AJ8" s="197" t="s">
        <v>244</v>
      </c>
      <c r="AK8" s="157" t="s">
        <v>224</v>
      </c>
      <c r="AL8" s="157" t="s">
        <v>225</v>
      </c>
      <c r="AM8" s="194">
        <v>44586</v>
      </c>
      <c r="AN8" s="194">
        <v>44926</v>
      </c>
      <c r="AO8" s="193" t="s">
        <v>283</v>
      </c>
      <c r="AP8" s="192" t="s">
        <v>285</v>
      </c>
      <c r="AQ8" s="132" t="s">
        <v>286</v>
      </c>
    </row>
    <row r="9" spans="1:43" ht="86.25" customHeight="1" x14ac:dyDescent="0.3">
      <c r="A9" s="139"/>
      <c r="B9" s="140"/>
      <c r="C9" s="142"/>
      <c r="D9" s="144"/>
      <c r="E9" s="146"/>
      <c r="F9" s="158"/>
      <c r="G9" s="203"/>
      <c r="H9" s="203"/>
      <c r="I9" s="203"/>
      <c r="J9" s="100" t="s">
        <v>222</v>
      </c>
      <c r="K9" s="160"/>
      <c r="L9" s="205"/>
      <c r="M9" s="207"/>
      <c r="N9" s="160"/>
      <c r="O9" s="150"/>
      <c r="P9" s="152"/>
      <c r="Q9" s="154"/>
      <c r="R9" s="57">
        <v>2</v>
      </c>
      <c r="S9" s="39" t="s">
        <v>268</v>
      </c>
      <c r="T9" s="59" t="str">
        <f t="shared" si="0"/>
        <v>Probabilidad</v>
      </c>
      <c r="U9" s="60" t="s">
        <v>21</v>
      </c>
      <c r="V9" s="61">
        <f t="shared" si="1"/>
        <v>0.25</v>
      </c>
      <c r="W9" s="60" t="s">
        <v>141</v>
      </c>
      <c r="X9" s="61">
        <f t="shared" si="2"/>
        <v>0.15</v>
      </c>
      <c r="Y9" s="64">
        <f t="shared" si="3"/>
        <v>0.4</v>
      </c>
      <c r="Z9" s="60" t="s">
        <v>146</v>
      </c>
      <c r="AA9" s="60" t="s">
        <v>150</v>
      </c>
      <c r="AB9" s="60" t="s">
        <v>154</v>
      </c>
      <c r="AC9" s="64">
        <f>IFERROR(IF(AND(T8="Probabilidad",T9="Probabilidad"),(AC8-(+AC8*Y9)),IF(T9="Probabilidad",(M8-(+M8*Y9)),IF(T9="Impacto",AC8,""))),"")</f>
        <v>0.36</v>
      </c>
      <c r="AD9" s="65" t="str">
        <f t="shared" si="4"/>
        <v>Baja</v>
      </c>
      <c r="AE9" s="66">
        <f>IF(T9="Impacto",(AE8-(+AE8*Y9)),AE8)</f>
        <v>0.6</v>
      </c>
      <c r="AF9" s="65" t="str">
        <f t="shared" si="5"/>
        <v>Moderado</v>
      </c>
      <c r="AG9" s="76" t="str">
        <f>IF(AND(AD9&lt;&gt;"",AF9&lt;&gt;""),VLOOKUP(AD9&amp;AF9,'No Eliminar'!$N$3:$O$27,2,FALSE),"")</f>
        <v>Moderada</v>
      </c>
      <c r="AH9" s="60" t="s">
        <v>84</v>
      </c>
      <c r="AI9" s="204"/>
      <c r="AJ9" s="198"/>
      <c r="AK9" s="158"/>
      <c r="AL9" s="158"/>
      <c r="AM9" s="195"/>
      <c r="AN9" s="195"/>
      <c r="AO9" s="193"/>
      <c r="AP9" s="192"/>
      <c r="AQ9" s="133" t="s">
        <v>278</v>
      </c>
    </row>
    <row r="10" spans="1:43" ht="119.25" customHeight="1" x14ac:dyDescent="0.3">
      <c r="A10" s="139"/>
      <c r="B10" s="140"/>
      <c r="C10" s="142"/>
      <c r="D10" s="144"/>
      <c r="E10" s="146"/>
      <c r="F10" s="158"/>
      <c r="G10" s="203"/>
      <c r="H10" s="203"/>
      <c r="I10" s="203"/>
      <c r="J10" s="101" t="s">
        <v>223</v>
      </c>
      <c r="K10" s="160"/>
      <c r="L10" s="205"/>
      <c r="M10" s="207"/>
      <c r="N10" s="160"/>
      <c r="O10" s="150"/>
      <c r="P10" s="152"/>
      <c r="Q10" s="154"/>
      <c r="R10" s="57">
        <v>3</v>
      </c>
      <c r="S10" s="39" t="s">
        <v>269</v>
      </c>
      <c r="T10" s="59" t="str">
        <f t="shared" si="0"/>
        <v>Probabilidad</v>
      </c>
      <c r="U10" s="60" t="s">
        <v>80</v>
      </c>
      <c r="V10" s="61">
        <f t="shared" si="1"/>
        <v>0.15</v>
      </c>
      <c r="W10" s="60" t="s">
        <v>142</v>
      </c>
      <c r="X10" s="61">
        <f t="shared" si="2"/>
        <v>0.25</v>
      </c>
      <c r="Y10" s="64">
        <f t="shared" si="3"/>
        <v>0.4</v>
      </c>
      <c r="Z10" s="60" t="s">
        <v>146</v>
      </c>
      <c r="AA10" s="60" t="s">
        <v>151</v>
      </c>
      <c r="AB10" s="60" t="s">
        <v>154</v>
      </c>
      <c r="AC10" s="64">
        <f>IFERROR(IF(AND(T9="Probabilidad",T10="Probabilidad"),(AE9-(+AE9*Y10)),IF(AND(T9="Impacto",T10="Probabilidad"),(AE8-(+AE8*Y10)),IF(T10="Impacto",AE9,""))),"")</f>
        <v>0.36</v>
      </c>
      <c r="AD10" s="62" t="str">
        <f t="shared" si="4"/>
        <v>Baja</v>
      </c>
      <c r="AE10" s="63">
        <f>IFERROR(IF(AND(T9="Impacto",T10="Impacto"),(AE9-(+AE9*Y10)),IF(AND(T9="Impacto",T10="Probabilidad"),(AE8-(+AE8*Y10)),IF(T10="Probabilidad",AE9,""))),"")</f>
        <v>0.6</v>
      </c>
      <c r="AF10" s="62" t="str">
        <f t="shared" si="5"/>
        <v>Moderado</v>
      </c>
      <c r="AG10" s="76" t="str">
        <f>IF(AND(AD10&lt;&gt;"",AF10&lt;&gt;""),VLOOKUP(AD10&amp;AF10,'No Eliminar'!$N$3:$O$27,2,FALSE),"")</f>
        <v>Moderada</v>
      </c>
      <c r="AH10" s="60" t="s">
        <v>84</v>
      </c>
      <c r="AI10" s="204"/>
      <c r="AJ10" s="199"/>
      <c r="AK10" s="200"/>
      <c r="AL10" s="200"/>
      <c r="AM10" s="196"/>
      <c r="AN10" s="196"/>
      <c r="AO10" s="193"/>
      <c r="AP10" s="192"/>
      <c r="AQ10" s="133" t="s">
        <v>287</v>
      </c>
    </row>
    <row r="11" spans="1:43" ht="101.25" customHeight="1" x14ac:dyDescent="0.3">
      <c r="A11" s="113">
        <v>2</v>
      </c>
      <c r="B11" s="135" t="s">
        <v>293</v>
      </c>
      <c r="C11" s="115" t="s">
        <v>213</v>
      </c>
      <c r="D11" s="116" t="s">
        <v>275</v>
      </c>
      <c r="E11" s="117" t="s">
        <v>214</v>
      </c>
      <c r="F11" s="109" t="s">
        <v>159</v>
      </c>
      <c r="G11" s="123" t="s">
        <v>226</v>
      </c>
      <c r="H11" s="123" t="s">
        <v>297</v>
      </c>
      <c r="I11" s="123" t="s">
        <v>227</v>
      </c>
      <c r="J11" s="123" t="s">
        <v>221</v>
      </c>
      <c r="K11" s="111" t="s">
        <v>177</v>
      </c>
      <c r="L11" s="127" t="str">
        <f>IF(K11="Máximo 2 veces por año","Muy Baja", IF(K11="De 3 a 24 veces por año","Baja", IF(K11="De 24 a 500 veces por año","Media", IF(K11="De 500 veces al año y máximo 5000 veces por año","Alta",IF(K11="Más de 5000 veces por año","Muy Alta",";")))))</f>
        <v>Muy Alta</v>
      </c>
      <c r="M11" s="112">
        <f>IF(L11="Muy Baja", 20%, IF(L11="Baja",40%, IF(L11="Media",60%, IF(L11="Alta",80%,IF(L11="Muy Alta",100%,"")))))</f>
        <v>1</v>
      </c>
      <c r="N11" s="111" t="s">
        <v>284</v>
      </c>
      <c r="O11" s="107" t="str">
        <f>IF(P11=20%,"Leve",IF(P11=40%,"Menor",IF(P11=60%,"Moderado",IF(P11=80%,"Mayor","Catastrófico"))))</f>
        <v>Catastrófico</v>
      </c>
      <c r="P11" s="121"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122" t="str">
        <f>IF(AND(L11&lt;&gt;"",O11&lt;&gt;""),VLOOKUP(L11&amp;O11,'No Eliminar'!$N$3:$O$27,2,FALSE),"")</f>
        <v>Extrema</v>
      </c>
      <c r="R11" s="57">
        <v>1</v>
      </c>
      <c r="S11" s="39" t="s">
        <v>258</v>
      </c>
      <c r="T11" s="59" t="str">
        <f t="shared" si="0"/>
        <v>Probabilidad</v>
      </c>
      <c r="U11" s="60" t="s">
        <v>21</v>
      </c>
      <c r="V11" s="61">
        <f t="shared" si="1"/>
        <v>0.25</v>
      </c>
      <c r="W11" s="60" t="s">
        <v>141</v>
      </c>
      <c r="X11" s="61">
        <f t="shared" si="2"/>
        <v>0.15</v>
      </c>
      <c r="Y11" s="64">
        <f t="shared" si="3"/>
        <v>0.4</v>
      </c>
      <c r="Z11" s="60" t="s">
        <v>146</v>
      </c>
      <c r="AA11" s="60" t="s">
        <v>150</v>
      </c>
      <c r="AB11" s="60" t="s">
        <v>154</v>
      </c>
      <c r="AC11" s="64">
        <f>IFERROR(IF(T11="Probabilidad",(M11-(+M11*Y11)),IF(T11="Impacto",M11,"")),"")</f>
        <v>0.6</v>
      </c>
      <c r="AD11" s="65" t="str">
        <f t="shared" si="4"/>
        <v>Media</v>
      </c>
      <c r="AE11" s="66" t="str">
        <f>IF(T11="Impacto",(P11-(+P11*Y11)),P11)</f>
        <v/>
      </c>
      <c r="AF11" s="65" t="str">
        <f t="shared" si="5"/>
        <v>Catastrófico</v>
      </c>
      <c r="AG11" s="76" t="str">
        <f>IF(AND(AD11&lt;&gt;"",AF11&lt;&gt;""),VLOOKUP(AD11&amp;AF11,'No Eliminar'!$N$3:$O$27,2,FALSE),"")</f>
        <v>Extrema</v>
      </c>
      <c r="AH11" s="60" t="s">
        <v>84</v>
      </c>
      <c r="AI11" s="106" t="s">
        <v>246</v>
      </c>
      <c r="AJ11" s="126" t="s">
        <v>277</v>
      </c>
      <c r="AK11" s="106" t="s">
        <v>224</v>
      </c>
      <c r="AL11" s="106" t="s">
        <v>225</v>
      </c>
      <c r="AM11" s="124">
        <v>44586</v>
      </c>
      <c r="AN11" s="124">
        <v>44926</v>
      </c>
      <c r="AO11" s="125" t="s">
        <v>282</v>
      </c>
      <c r="AP11" s="136" t="s">
        <v>288</v>
      </c>
      <c r="AQ11" s="133" t="s">
        <v>289</v>
      </c>
    </row>
    <row r="12" spans="1:43" ht="105.75" customHeight="1" x14ac:dyDescent="0.3">
      <c r="A12" s="80">
        <v>3</v>
      </c>
      <c r="B12" s="135" t="s">
        <v>293</v>
      </c>
      <c r="C12" s="82" t="s">
        <v>213</v>
      </c>
      <c r="D12" s="83" t="s">
        <v>280</v>
      </c>
      <c r="E12" s="84" t="s">
        <v>214</v>
      </c>
      <c r="F12" s="77" t="s">
        <v>159</v>
      </c>
      <c r="G12" s="102" t="s">
        <v>272</v>
      </c>
      <c r="H12" s="102" t="s">
        <v>295</v>
      </c>
      <c r="I12" s="102" t="s">
        <v>273</v>
      </c>
      <c r="J12" s="102" t="s">
        <v>221</v>
      </c>
      <c r="K12" s="78" t="s">
        <v>177</v>
      </c>
      <c r="L12" s="89" t="str">
        <f>IF(K12="Máximo 2 veces por año","Muy Baja", IF(K12="De 3 a 24 veces por año","Baja", IF(K12="De 24 a 500 veces por año","Media", IF(K12="De 500 veces al año y máximo 5000 veces por año","Alta",IF(K12="Más de 5000 veces por año","Muy Alta",";")))))</f>
        <v>Muy Alta</v>
      </c>
      <c r="M12" s="79">
        <f>IF(L12="Muy Baja", 20%, IF(L12="Baja",40%, IF(L12="Media",60%, IF(L12="Alta",80%,IF(L12="Muy Alta",100%,"")))))</f>
        <v>1</v>
      </c>
      <c r="N12" s="78" t="s">
        <v>284</v>
      </c>
      <c r="O12" s="75" t="str">
        <f>IF(P12=20%,"Leve",IF(P12=40%,"Menor",IF(P12=60%,"Moderado",IF(P12=80%,"Mayor","Catastrófico"))))</f>
        <v>Catastrófico</v>
      </c>
      <c r="P12" s="87"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88" t="str">
        <f>IF(AND(L12&lt;&gt;"",O12&lt;&gt;""),VLOOKUP(L12&amp;O12,'No Eliminar'!$N$3:$O$27,2,FALSE),"")</f>
        <v>Extrema</v>
      </c>
      <c r="R12" s="57">
        <v>1</v>
      </c>
      <c r="S12" s="39" t="s">
        <v>259</v>
      </c>
      <c r="T12" s="59" t="str">
        <f t="shared" si="0"/>
        <v>Probabilidad</v>
      </c>
      <c r="U12" s="60" t="s">
        <v>21</v>
      </c>
      <c r="V12" s="61">
        <f t="shared" si="1"/>
        <v>0.25</v>
      </c>
      <c r="W12" s="60" t="s">
        <v>141</v>
      </c>
      <c r="X12" s="61">
        <f t="shared" si="2"/>
        <v>0.15</v>
      </c>
      <c r="Y12" s="64">
        <f t="shared" si="3"/>
        <v>0.4</v>
      </c>
      <c r="Z12" s="60" t="s">
        <v>146</v>
      </c>
      <c r="AA12" s="60" t="s">
        <v>150</v>
      </c>
      <c r="AB12" s="60" t="s">
        <v>154</v>
      </c>
      <c r="AC12" s="64">
        <f>IFERROR(IF(T12="Probabilidad",(M12-(+M12*Y12)),IF(T12="Impacto",M12,"")),"")</f>
        <v>0.6</v>
      </c>
      <c r="AD12" s="65" t="str">
        <f t="shared" si="4"/>
        <v>Media</v>
      </c>
      <c r="AE12" s="66" t="str">
        <f>IF(T12="Impacto",(P12-(+P12*Y12)),P12)</f>
        <v/>
      </c>
      <c r="AF12" s="65" t="str">
        <f t="shared" si="5"/>
        <v>Catastrófico</v>
      </c>
      <c r="AG12" s="76" t="str">
        <f>IF(AND(AD12&lt;&gt;"",AF12&lt;&gt;""),VLOOKUP(AD12&amp;AF12,'No Eliminar'!$N$3:$O$27,2,FALSE),"")</f>
        <v>Extrema</v>
      </c>
      <c r="AH12" s="60" t="s">
        <v>84</v>
      </c>
      <c r="AI12" s="74" t="s">
        <v>247</v>
      </c>
      <c r="AJ12" s="103" t="s">
        <v>266</v>
      </c>
      <c r="AK12" s="74" t="s">
        <v>224</v>
      </c>
      <c r="AL12" s="74" t="s">
        <v>225</v>
      </c>
      <c r="AM12" s="124">
        <v>44586</v>
      </c>
      <c r="AN12" s="124">
        <v>44926</v>
      </c>
      <c r="AO12" s="104" t="s">
        <v>281</v>
      </c>
      <c r="AP12" s="136" t="s">
        <v>290</v>
      </c>
      <c r="AQ12" s="133" t="s">
        <v>292</v>
      </c>
    </row>
    <row r="13" spans="1:43" ht="142.5" customHeight="1" x14ac:dyDescent="0.3">
      <c r="A13" s="80">
        <v>4</v>
      </c>
      <c r="B13" s="135" t="s">
        <v>293</v>
      </c>
      <c r="C13" s="81" t="s">
        <v>213</v>
      </c>
      <c r="D13" s="90" t="s">
        <v>276</v>
      </c>
      <c r="E13" s="91" t="s">
        <v>214</v>
      </c>
      <c r="F13" s="58" t="s">
        <v>159</v>
      </c>
      <c r="G13" s="105" t="s">
        <v>228</v>
      </c>
      <c r="H13" s="105" t="s">
        <v>296</v>
      </c>
      <c r="I13" s="105" t="s">
        <v>229</v>
      </c>
      <c r="J13" s="105" t="s">
        <v>221</v>
      </c>
      <c r="K13" s="92" t="s">
        <v>177</v>
      </c>
      <c r="L13" s="89" t="str">
        <f>IF(K13="Máximo 2 veces por año","Muy Baja", IF(K13="De 3 a 24 veces por año","Baja", IF(K13="De 24 a 500 veces por año","Media", IF(K13="De 500 veces al año y máximo 5000 veces por año","Alta",IF(K13="Más de 5000 veces por año","Muy Alta",";")))))</f>
        <v>Muy Alta</v>
      </c>
      <c r="M13" s="93">
        <f>IF(L13="Muy Baja", 20%, IF(L13="Baja",40%, IF(L13="Media",60%, IF(L13="Alta",80%,IF(L13="Muy Alta",100%,"")))))</f>
        <v>1</v>
      </c>
      <c r="N13" s="92" t="s">
        <v>197</v>
      </c>
      <c r="O13" s="61" t="str">
        <f>IF(P13=20%,"Leve",IF(P13=40%,"Menor",IF(P13=60%,"Moderado",IF(P13=80%,"Mayor","Catastrófico"))))</f>
        <v>Moderado</v>
      </c>
      <c r="P13" s="94">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95" t="str">
        <f>IF(AND(L13&lt;&gt;"",O13&lt;&gt;""),VLOOKUP(L13&amp;O13,'No Eliminar'!$N$3:$O$27,2,FALSE),"")</f>
        <v>Alta</v>
      </c>
      <c r="R13" s="57">
        <v>1</v>
      </c>
      <c r="S13" s="39" t="s">
        <v>270</v>
      </c>
      <c r="T13" s="59" t="str">
        <f t="shared" si="0"/>
        <v>Probabilidad</v>
      </c>
      <c r="U13" s="60" t="s">
        <v>21</v>
      </c>
      <c r="V13" s="61">
        <f t="shared" si="1"/>
        <v>0.25</v>
      </c>
      <c r="W13" s="60" t="s">
        <v>141</v>
      </c>
      <c r="X13" s="61">
        <f t="shared" si="2"/>
        <v>0.15</v>
      </c>
      <c r="Y13" s="64">
        <f t="shared" si="3"/>
        <v>0.4</v>
      </c>
      <c r="Z13" s="60" t="s">
        <v>146</v>
      </c>
      <c r="AA13" s="60" t="s">
        <v>150</v>
      </c>
      <c r="AB13" s="60" t="s">
        <v>154</v>
      </c>
      <c r="AC13" s="64">
        <f>IFERROR(IF(T13="Probabilidad",(M13-(+M13*Y13)),IF(T13="Impacto",M13,"")),"")</f>
        <v>0.6</v>
      </c>
      <c r="AD13" s="65" t="str">
        <f t="shared" si="4"/>
        <v>Media</v>
      </c>
      <c r="AE13" s="66">
        <f>IF(T13="Impacto",(P13-(+P13*Y13)),P13)</f>
        <v>0.6</v>
      </c>
      <c r="AF13" s="65" t="str">
        <f>IF(AE13&lt;=20%, "Leve", IF(AE13&lt;=40%,"Menor", IF(AE13&lt;=60%,"Moderado",IF(AE13&lt;=80%,"Mayor","Catastrófico"))))</f>
        <v>Moderado</v>
      </c>
      <c r="AG13" s="60" t="str">
        <f>IF(AND(AD13&lt;&gt;"",AF13&lt;&gt;""),VLOOKUP(AD13&amp;AF13,'No Eliminar'!$N$3:$O$27,2,FALSE),"")</f>
        <v>Moderada</v>
      </c>
      <c r="AH13" s="60" t="s">
        <v>84</v>
      </c>
      <c r="AI13" s="96" t="s">
        <v>248</v>
      </c>
      <c r="AJ13" s="96" t="s">
        <v>243</v>
      </c>
      <c r="AK13" s="96" t="s">
        <v>224</v>
      </c>
      <c r="AL13" s="96" t="s">
        <v>225</v>
      </c>
      <c r="AM13" s="97">
        <v>44586</v>
      </c>
      <c r="AN13" s="97">
        <v>44926</v>
      </c>
      <c r="AO13" s="134" t="s">
        <v>279</v>
      </c>
      <c r="AP13" s="136" t="s">
        <v>291</v>
      </c>
      <c r="AQ13" s="133" t="s">
        <v>292</v>
      </c>
    </row>
  </sheetData>
  <mergeCells count="51">
    <mergeCell ref="AQ6:AQ7"/>
    <mergeCell ref="AK6:AK7"/>
    <mergeCell ref="AL6:AL7"/>
    <mergeCell ref="AM6:AM7"/>
    <mergeCell ref="G8:G10"/>
    <mergeCell ref="H8:H10"/>
    <mergeCell ref="I8:I10"/>
    <mergeCell ref="O8:O10"/>
    <mergeCell ref="P8:P10"/>
    <mergeCell ref="AI8:AI10"/>
    <mergeCell ref="AH6:AH7"/>
    <mergeCell ref="K8:K10"/>
    <mergeCell ref="L8:L10"/>
    <mergeCell ref="M8:M10"/>
    <mergeCell ref="N8:N10"/>
    <mergeCell ref="A8:A10"/>
    <mergeCell ref="B8:B10"/>
    <mergeCell ref="D8:D10"/>
    <mergeCell ref="E8:E10"/>
    <mergeCell ref="F8:F10"/>
    <mergeCell ref="C8:C10"/>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AC6:AC7"/>
    <mergeCell ref="AJ8:AJ10"/>
    <mergeCell ref="AK8:AK10"/>
    <mergeCell ref="AL8:AL10"/>
    <mergeCell ref="T6:T7"/>
    <mergeCell ref="U6:AB6"/>
    <mergeCell ref="AD6:AD7"/>
    <mergeCell ref="AE6:AE7"/>
    <mergeCell ref="AF6:AF7"/>
    <mergeCell ref="AP8:AP10"/>
    <mergeCell ref="AO8:AO10"/>
    <mergeCell ref="AM8:AM10"/>
    <mergeCell ref="AN8:AN10"/>
    <mergeCell ref="Q8:Q10"/>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17" t="s">
        <v>86</v>
      </c>
      <c r="F4" s="11"/>
      <c r="G4" s="209" t="s">
        <v>34</v>
      </c>
      <c r="H4" s="209"/>
      <c r="I4" s="209"/>
      <c r="J4" s="209"/>
      <c r="K4" s="209"/>
      <c r="L4" s="209"/>
      <c r="M4" s="210">
        <v>5</v>
      </c>
      <c r="N4" s="210"/>
      <c r="O4" s="210"/>
      <c r="P4" s="210"/>
      <c r="Q4" s="210">
        <v>10</v>
      </c>
      <c r="R4" s="210"/>
      <c r="S4" s="210"/>
      <c r="T4" s="210"/>
      <c r="U4" s="208">
        <v>15</v>
      </c>
      <c r="V4" s="208"/>
      <c r="W4" s="208"/>
      <c r="X4" s="208"/>
      <c r="Y4" s="208">
        <v>20</v>
      </c>
      <c r="Z4" s="208"/>
      <c r="AA4" s="208"/>
      <c r="AB4" s="208"/>
      <c r="AC4" s="208">
        <v>25</v>
      </c>
      <c r="AD4" s="208"/>
      <c r="AE4" s="208"/>
      <c r="AF4" s="208"/>
      <c r="AG4" s="11"/>
      <c r="AH4" s="11"/>
      <c r="AI4" s="11"/>
      <c r="AJ4" s="12"/>
    </row>
    <row r="5" spans="3:36" ht="51" customHeight="1" x14ac:dyDescent="0.3">
      <c r="C5" s="11"/>
      <c r="D5" s="11"/>
      <c r="E5" s="217"/>
      <c r="F5" s="11"/>
      <c r="G5" s="209" t="s">
        <v>33</v>
      </c>
      <c r="H5" s="209"/>
      <c r="I5" s="209"/>
      <c r="J5" s="209"/>
      <c r="K5" s="209"/>
      <c r="L5" s="209"/>
      <c r="M5" s="211">
        <v>4</v>
      </c>
      <c r="N5" s="211"/>
      <c r="O5" s="211"/>
      <c r="P5" s="211"/>
      <c r="Q5" s="210">
        <v>8</v>
      </c>
      <c r="R5" s="210"/>
      <c r="S5" s="210"/>
      <c r="T5" s="210"/>
      <c r="U5" s="210">
        <v>12</v>
      </c>
      <c r="V5" s="210"/>
      <c r="W5" s="210"/>
      <c r="X5" s="210"/>
      <c r="Y5" s="208">
        <v>16</v>
      </c>
      <c r="Z5" s="208"/>
      <c r="AA5" s="208"/>
      <c r="AB5" s="208"/>
      <c r="AC5" s="208">
        <v>20</v>
      </c>
      <c r="AD5" s="208"/>
      <c r="AE5" s="208"/>
      <c r="AF5" s="208"/>
      <c r="AG5" s="11"/>
      <c r="AH5" s="11"/>
      <c r="AI5" s="11"/>
      <c r="AJ5" s="12"/>
    </row>
    <row r="6" spans="3:36" ht="51" customHeight="1" x14ac:dyDescent="0.3">
      <c r="C6" s="11"/>
      <c r="D6" s="11"/>
      <c r="E6" s="217"/>
      <c r="F6" s="11"/>
      <c r="G6" s="209" t="s">
        <v>100</v>
      </c>
      <c r="H6" s="209"/>
      <c r="I6" s="209"/>
      <c r="J6" s="209"/>
      <c r="K6" s="209"/>
      <c r="L6" s="209"/>
      <c r="M6" s="216">
        <v>3</v>
      </c>
      <c r="N6" s="216"/>
      <c r="O6" s="216"/>
      <c r="P6" s="216"/>
      <c r="Q6" s="211">
        <v>6</v>
      </c>
      <c r="R6" s="211"/>
      <c r="S6" s="211"/>
      <c r="T6" s="211"/>
      <c r="U6" s="210">
        <v>9</v>
      </c>
      <c r="V6" s="210"/>
      <c r="W6" s="210"/>
      <c r="X6" s="210"/>
      <c r="Y6" s="208">
        <v>12</v>
      </c>
      <c r="Z6" s="208"/>
      <c r="AA6" s="208"/>
      <c r="AB6" s="208"/>
      <c r="AC6" s="208">
        <v>15</v>
      </c>
      <c r="AD6" s="208"/>
      <c r="AE6" s="208"/>
      <c r="AF6" s="208"/>
      <c r="AG6" s="11"/>
      <c r="AH6" s="11"/>
      <c r="AI6" s="11"/>
      <c r="AJ6" s="13"/>
    </row>
    <row r="7" spans="3:36" ht="51" customHeight="1" x14ac:dyDescent="0.3">
      <c r="C7" s="11"/>
      <c r="D7" s="11"/>
      <c r="E7" s="217"/>
      <c r="F7" s="11"/>
      <c r="G7" s="209" t="s">
        <v>32</v>
      </c>
      <c r="H7" s="209"/>
      <c r="I7" s="209"/>
      <c r="J7" s="209"/>
      <c r="K7" s="209"/>
      <c r="L7" s="209"/>
      <c r="M7" s="216">
        <v>2</v>
      </c>
      <c r="N7" s="216"/>
      <c r="O7" s="216"/>
      <c r="P7" s="216"/>
      <c r="Q7" s="216">
        <v>4</v>
      </c>
      <c r="R7" s="216"/>
      <c r="S7" s="216"/>
      <c r="T7" s="216"/>
      <c r="U7" s="211">
        <v>6</v>
      </c>
      <c r="V7" s="211"/>
      <c r="W7" s="211"/>
      <c r="X7" s="211"/>
      <c r="Y7" s="210">
        <v>8</v>
      </c>
      <c r="Z7" s="210"/>
      <c r="AA7" s="210">
        <v>8</v>
      </c>
      <c r="AB7" s="210"/>
      <c r="AC7" s="208">
        <v>10</v>
      </c>
      <c r="AD7" s="208"/>
      <c r="AE7" s="208"/>
      <c r="AF7" s="208"/>
      <c r="AG7" s="11"/>
      <c r="AH7" s="11"/>
      <c r="AI7" s="11"/>
      <c r="AJ7" s="13" t="s">
        <v>25</v>
      </c>
    </row>
    <row r="8" spans="3:36" ht="51" customHeight="1" x14ac:dyDescent="0.3">
      <c r="C8" s="11"/>
      <c r="D8" s="11"/>
      <c r="E8" s="217"/>
      <c r="F8" s="11"/>
      <c r="G8" s="209" t="s">
        <v>87</v>
      </c>
      <c r="H8" s="209"/>
      <c r="I8" s="209"/>
      <c r="J8" s="209"/>
      <c r="K8" s="209"/>
      <c r="L8" s="209"/>
      <c r="M8" s="216">
        <v>1</v>
      </c>
      <c r="N8" s="216"/>
      <c r="O8" s="216"/>
      <c r="P8" s="216"/>
      <c r="Q8" s="216">
        <v>2</v>
      </c>
      <c r="R8" s="216"/>
      <c r="S8" s="216"/>
      <c r="T8" s="216"/>
      <c r="U8" s="211">
        <v>3</v>
      </c>
      <c r="V8" s="211"/>
      <c r="W8" s="211"/>
      <c r="X8" s="211"/>
      <c r="Y8" s="210">
        <v>4</v>
      </c>
      <c r="Z8" s="210"/>
      <c r="AA8" s="210"/>
      <c r="AB8" s="210"/>
      <c r="AC8" s="210">
        <v>5</v>
      </c>
      <c r="AD8" s="210"/>
      <c r="AE8" s="210"/>
      <c r="AF8" s="210"/>
      <c r="AG8" s="11"/>
      <c r="AH8" s="11"/>
      <c r="AI8" s="11"/>
      <c r="AJ8" s="12"/>
    </row>
    <row r="9" spans="3:36" ht="45" customHeight="1" x14ac:dyDescent="0.3">
      <c r="C9" s="11"/>
      <c r="D9" s="11"/>
      <c r="E9" s="217"/>
      <c r="F9" s="11"/>
      <c r="G9" s="215"/>
      <c r="H9" s="215"/>
      <c r="I9" s="215"/>
      <c r="J9" s="215"/>
      <c r="K9" s="215"/>
      <c r="L9" s="215"/>
      <c r="M9" s="209" t="s">
        <v>27</v>
      </c>
      <c r="N9" s="209"/>
      <c r="O9" s="209"/>
      <c r="P9" s="209"/>
      <c r="Q9" s="209" t="s">
        <v>28</v>
      </c>
      <c r="R9" s="209"/>
      <c r="S9" s="209"/>
      <c r="T9" s="209"/>
      <c r="U9" s="209" t="s">
        <v>29</v>
      </c>
      <c r="V9" s="209"/>
      <c r="W9" s="209"/>
      <c r="X9" s="209"/>
      <c r="Y9" s="209" t="s">
        <v>30</v>
      </c>
      <c r="Z9" s="209"/>
      <c r="AA9" s="209"/>
      <c r="AB9" s="209"/>
      <c r="AC9" s="209" t="s">
        <v>31</v>
      </c>
      <c r="AD9" s="209"/>
      <c r="AE9" s="209"/>
      <c r="AF9" s="209"/>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14" t="s">
        <v>3</v>
      </c>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13" t="s">
        <v>43</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12" t="s">
        <v>88</v>
      </c>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8" customWidth="1"/>
    <col min="10" max="10" width="59.7109375" style="68"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111</v>
      </c>
      <c r="G2" s="2" t="s">
        <v>23</v>
      </c>
      <c r="H2" s="2" t="s">
        <v>111</v>
      </c>
      <c r="I2" s="67" t="s">
        <v>101</v>
      </c>
      <c r="J2" s="67" t="s">
        <v>46</v>
      </c>
      <c r="K2" s="2" t="s">
        <v>140</v>
      </c>
      <c r="L2" s="2" t="s">
        <v>22</v>
      </c>
      <c r="M2" s="2" t="s">
        <v>23</v>
      </c>
      <c r="N2" s="2" t="s">
        <v>47</v>
      </c>
      <c r="Q2" s="2" t="s">
        <v>48</v>
      </c>
    </row>
    <row r="3" spans="2:20" x14ac:dyDescent="0.25">
      <c r="B3" s="1" t="s">
        <v>49</v>
      </c>
      <c r="C3" s="1" t="s">
        <v>50</v>
      </c>
      <c r="D3" s="1" t="s">
        <v>7</v>
      </c>
      <c r="E3" s="3" t="s">
        <v>110</v>
      </c>
      <c r="F3" s="45">
        <v>0.2</v>
      </c>
      <c r="G3" s="1" t="s">
        <v>112</v>
      </c>
      <c r="H3" s="45">
        <v>0.2</v>
      </c>
      <c r="I3" s="68" t="s">
        <v>81</v>
      </c>
      <c r="J3" s="68" t="s">
        <v>21</v>
      </c>
      <c r="K3" s="1" t="s">
        <v>141</v>
      </c>
      <c r="L3" s="3" t="s">
        <v>110</v>
      </c>
      <c r="M3" s="1" t="s">
        <v>112</v>
      </c>
      <c r="N3" s="49" t="s">
        <v>114</v>
      </c>
      <c r="O3" s="1" t="s">
        <v>25</v>
      </c>
      <c r="R3" s="1" t="s">
        <v>189</v>
      </c>
    </row>
    <row r="4" spans="2:20" x14ac:dyDescent="0.25">
      <c r="B4" s="1" t="s">
        <v>96</v>
      </c>
      <c r="C4" s="1" t="s">
        <v>51</v>
      </c>
      <c r="D4" s="1" t="s">
        <v>8</v>
      </c>
      <c r="E4" s="3" t="s">
        <v>25</v>
      </c>
      <c r="F4" s="45">
        <v>0.4</v>
      </c>
      <c r="G4" s="1" t="s">
        <v>11</v>
      </c>
      <c r="H4" s="45">
        <v>0.4</v>
      </c>
      <c r="I4" s="69" t="s">
        <v>82</v>
      </c>
      <c r="J4" s="68" t="s">
        <v>80</v>
      </c>
      <c r="K4" s="1" t="s">
        <v>142</v>
      </c>
      <c r="L4" s="3" t="s">
        <v>25</v>
      </c>
      <c r="M4" s="1" t="s">
        <v>11</v>
      </c>
      <c r="N4" s="49" t="s">
        <v>115</v>
      </c>
      <c r="O4" s="1" t="s">
        <v>25</v>
      </c>
      <c r="R4" s="1" t="s">
        <v>188</v>
      </c>
    </row>
    <row r="5" spans="2:20" x14ac:dyDescent="0.25">
      <c r="B5" s="1" t="s">
        <v>52</v>
      </c>
      <c r="C5" s="1" t="s">
        <v>53</v>
      </c>
      <c r="D5" s="1" t="s">
        <v>14</v>
      </c>
      <c r="E5" s="3" t="s">
        <v>108</v>
      </c>
      <c r="F5" s="45">
        <v>0.6</v>
      </c>
      <c r="G5" s="1" t="s">
        <v>13</v>
      </c>
      <c r="H5" s="45">
        <v>0.6</v>
      </c>
      <c r="I5" s="68" t="s">
        <v>83</v>
      </c>
      <c r="J5" s="68" t="s">
        <v>139</v>
      </c>
      <c r="L5" s="3" t="s">
        <v>108</v>
      </c>
      <c r="M5" s="1" t="s">
        <v>13</v>
      </c>
      <c r="N5" s="47" t="s">
        <v>116</v>
      </c>
      <c r="O5" s="1" t="s">
        <v>171</v>
      </c>
      <c r="R5" s="1" t="s">
        <v>167</v>
      </c>
    </row>
    <row r="6" spans="2:20" x14ac:dyDescent="0.25">
      <c r="B6" s="1" t="s">
        <v>54</v>
      </c>
      <c r="C6" s="1" t="s">
        <v>54</v>
      </c>
      <c r="D6" s="1" t="s">
        <v>17</v>
      </c>
      <c r="E6" s="3" t="s">
        <v>26</v>
      </c>
      <c r="F6" s="45">
        <v>0.8</v>
      </c>
      <c r="G6" s="1" t="s">
        <v>10</v>
      </c>
      <c r="H6" s="45">
        <v>0.8</v>
      </c>
      <c r="I6" s="68" t="s">
        <v>84</v>
      </c>
      <c r="J6" s="70" t="s">
        <v>164</v>
      </c>
      <c r="L6" s="3" t="s">
        <v>26</v>
      </c>
      <c r="M6" s="1" t="s">
        <v>10</v>
      </c>
      <c r="N6" s="50" t="s">
        <v>117</v>
      </c>
      <c r="O6" s="1" t="s">
        <v>26</v>
      </c>
      <c r="R6" s="1" t="s">
        <v>187</v>
      </c>
    </row>
    <row r="7" spans="2:20" x14ac:dyDescent="0.25">
      <c r="B7" s="1" t="s">
        <v>95</v>
      </c>
      <c r="C7" s="1" t="s">
        <v>55</v>
      </c>
      <c r="D7" s="1" t="s">
        <v>12</v>
      </c>
      <c r="E7" s="3" t="s">
        <v>109</v>
      </c>
      <c r="F7" s="45">
        <v>1</v>
      </c>
      <c r="G7" s="1" t="s">
        <v>113</v>
      </c>
      <c r="H7" s="45">
        <v>1</v>
      </c>
      <c r="I7" s="69"/>
      <c r="L7" s="51" t="s">
        <v>109</v>
      </c>
      <c r="M7" s="52" t="s">
        <v>113</v>
      </c>
      <c r="N7" s="48" t="s">
        <v>118</v>
      </c>
      <c r="O7" s="1" t="s">
        <v>24</v>
      </c>
    </row>
    <row r="8" spans="2:20" x14ac:dyDescent="0.25">
      <c r="B8" s="1" t="s">
        <v>55</v>
      </c>
      <c r="C8" s="1" t="s">
        <v>95</v>
      </c>
      <c r="D8" s="1" t="s">
        <v>15</v>
      </c>
      <c r="E8" s="3" t="s">
        <v>76</v>
      </c>
      <c r="F8" s="3"/>
      <c r="G8" s="3" t="s">
        <v>6</v>
      </c>
      <c r="H8" s="3"/>
      <c r="L8" s="51"/>
      <c r="M8" s="51"/>
      <c r="N8" s="49" t="s">
        <v>119</v>
      </c>
      <c r="O8" s="1" t="s">
        <v>25</v>
      </c>
      <c r="Q8" s="2" t="s">
        <v>145</v>
      </c>
      <c r="R8" s="2" t="s">
        <v>149</v>
      </c>
      <c r="S8" s="2" t="s">
        <v>153</v>
      </c>
      <c r="T8" s="2" t="s">
        <v>163</v>
      </c>
    </row>
    <row r="9" spans="2:20" x14ac:dyDescent="0.25">
      <c r="B9" s="1" t="s">
        <v>51</v>
      </c>
      <c r="C9" s="1" t="s">
        <v>96</v>
      </c>
      <c r="D9" s="1" t="s">
        <v>18</v>
      </c>
      <c r="E9" s="3" t="s">
        <v>9</v>
      </c>
      <c r="F9" s="3"/>
      <c r="G9" s="3" t="s">
        <v>11</v>
      </c>
      <c r="H9" s="3"/>
      <c r="L9" s="51"/>
      <c r="M9" s="51"/>
      <c r="N9" s="47" t="s">
        <v>120</v>
      </c>
      <c r="O9" s="1" t="s">
        <v>171</v>
      </c>
      <c r="Q9" s="1" t="s">
        <v>146</v>
      </c>
      <c r="R9" s="1" t="s">
        <v>150</v>
      </c>
      <c r="S9" s="1" t="s">
        <v>154</v>
      </c>
      <c r="T9" s="46" t="s">
        <v>156</v>
      </c>
    </row>
    <row r="10" spans="2:20" x14ac:dyDescent="0.25">
      <c r="B10" s="1" t="s">
        <v>56</v>
      </c>
      <c r="C10" s="1" t="s">
        <v>57</v>
      </c>
      <c r="E10" s="3" t="s">
        <v>73</v>
      </c>
      <c r="F10" s="3"/>
      <c r="G10" s="3" t="s">
        <v>13</v>
      </c>
      <c r="H10" s="3"/>
      <c r="L10" s="51"/>
      <c r="M10" s="51"/>
      <c r="N10" s="47" t="s">
        <v>121</v>
      </c>
      <c r="O10" s="1" t="s">
        <v>171</v>
      </c>
      <c r="Q10" s="1" t="s">
        <v>147</v>
      </c>
      <c r="R10" s="1" t="s">
        <v>151</v>
      </c>
      <c r="S10" s="1" t="s">
        <v>155</v>
      </c>
      <c r="T10" s="46" t="s">
        <v>157</v>
      </c>
    </row>
    <row r="11" spans="2:20" x14ac:dyDescent="0.25">
      <c r="B11" s="1" t="s">
        <v>50</v>
      </c>
      <c r="C11" s="1" t="s">
        <v>58</v>
      </c>
      <c r="E11" s="3" t="s">
        <v>16</v>
      </c>
      <c r="F11" s="3"/>
      <c r="G11" s="3" t="s">
        <v>10</v>
      </c>
      <c r="H11" s="3"/>
      <c r="L11" s="51"/>
      <c r="M11" s="51"/>
      <c r="N11" s="50" t="s">
        <v>122</v>
      </c>
      <c r="O11" s="1" t="s">
        <v>26</v>
      </c>
      <c r="T11" s="46" t="s">
        <v>158</v>
      </c>
    </row>
    <row r="12" spans="2:20" x14ac:dyDescent="0.25">
      <c r="B12" s="1" t="s">
        <v>59</v>
      </c>
      <c r="C12" s="1" t="s">
        <v>59</v>
      </c>
      <c r="E12" s="3" t="s">
        <v>19</v>
      </c>
      <c r="F12" s="3"/>
      <c r="G12" s="3" t="s">
        <v>20</v>
      </c>
      <c r="H12" s="3"/>
      <c r="L12" s="51"/>
      <c r="M12" s="51"/>
      <c r="N12" s="48" t="s">
        <v>123</v>
      </c>
      <c r="O12" s="1" t="s">
        <v>24</v>
      </c>
      <c r="T12" s="46" t="s">
        <v>159</v>
      </c>
    </row>
    <row r="13" spans="2:20" x14ac:dyDescent="0.25">
      <c r="B13" s="1" t="s">
        <v>60</v>
      </c>
      <c r="C13" s="1" t="s">
        <v>61</v>
      </c>
      <c r="N13" s="47" t="s">
        <v>124</v>
      </c>
      <c r="O13" s="1" t="s">
        <v>171</v>
      </c>
      <c r="T13" s="46" t="s">
        <v>160</v>
      </c>
    </row>
    <row r="14" spans="2:20" x14ac:dyDescent="0.25">
      <c r="B14" s="1" t="s">
        <v>53</v>
      </c>
      <c r="C14" s="1" t="s">
        <v>62</v>
      </c>
      <c r="I14" t="s">
        <v>193</v>
      </c>
      <c r="J14" s="71"/>
      <c r="N14" s="47" t="s">
        <v>125</v>
      </c>
      <c r="O14" s="1" t="s">
        <v>171</v>
      </c>
      <c r="T14" s="46" t="s">
        <v>161</v>
      </c>
    </row>
    <row r="15" spans="2:20" x14ac:dyDescent="0.25">
      <c r="B15" s="1" t="s">
        <v>61</v>
      </c>
      <c r="C15" s="1" t="s">
        <v>63</v>
      </c>
      <c r="I15" t="s">
        <v>200</v>
      </c>
      <c r="J15" s="72"/>
      <c r="N15" s="47" t="s">
        <v>126</v>
      </c>
      <c r="O15" s="1" t="s">
        <v>171</v>
      </c>
      <c r="Q15" s="2" t="s">
        <v>170</v>
      </c>
      <c r="T15" s="46" t="s">
        <v>162</v>
      </c>
    </row>
    <row r="16" spans="2:20" x14ac:dyDescent="0.25">
      <c r="B16" s="1" t="s">
        <v>64</v>
      </c>
      <c r="C16" s="1" t="s">
        <v>65</v>
      </c>
      <c r="I16" t="s">
        <v>201</v>
      </c>
      <c r="J16" s="72"/>
      <c r="N16" s="50" t="s">
        <v>127</v>
      </c>
      <c r="O16" s="1" t="s">
        <v>26</v>
      </c>
      <c r="Q16" s="53" t="s">
        <v>173</v>
      </c>
    </row>
    <row r="17" spans="2:17" x14ac:dyDescent="0.25">
      <c r="B17" s="1" t="s">
        <v>62</v>
      </c>
      <c r="C17" s="1" t="s">
        <v>66</v>
      </c>
      <c r="I17" t="s">
        <v>202</v>
      </c>
      <c r="J17" s="72"/>
      <c r="N17" s="48" t="s">
        <v>128</v>
      </c>
      <c r="O17" s="1" t="s">
        <v>24</v>
      </c>
      <c r="Q17" s="53" t="s">
        <v>174</v>
      </c>
    </row>
    <row r="18" spans="2:17" x14ac:dyDescent="0.25">
      <c r="B18" s="1" t="s">
        <v>67</v>
      </c>
      <c r="C18" s="1" t="s">
        <v>67</v>
      </c>
      <c r="I18" t="s">
        <v>203</v>
      </c>
      <c r="J18" s="72"/>
      <c r="N18" s="47" t="s">
        <v>129</v>
      </c>
      <c r="O18" s="1" t="s">
        <v>171</v>
      </c>
      <c r="Q18" s="53" t="s">
        <v>175</v>
      </c>
    </row>
    <row r="19" spans="2:17" x14ac:dyDescent="0.25">
      <c r="B19" s="1" t="s">
        <v>66</v>
      </c>
      <c r="C19" s="1" t="s">
        <v>52</v>
      </c>
      <c r="I19" t="s">
        <v>204</v>
      </c>
      <c r="N19" s="47" t="s">
        <v>130</v>
      </c>
      <c r="O19" s="1" t="s">
        <v>171</v>
      </c>
      <c r="Q19" s="53" t="s">
        <v>176</v>
      </c>
    </row>
    <row r="20" spans="2:17" x14ac:dyDescent="0.25">
      <c r="B20" s="1" t="s">
        <v>58</v>
      </c>
      <c r="C20" s="1" t="s">
        <v>64</v>
      </c>
      <c r="I20" t="s">
        <v>194</v>
      </c>
      <c r="N20" s="50" t="s">
        <v>131</v>
      </c>
      <c r="O20" s="1" t="s">
        <v>26</v>
      </c>
      <c r="Q20" s="53" t="s">
        <v>177</v>
      </c>
    </row>
    <row r="21" spans="2:17" x14ac:dyDescent="0.25">
      <c r="B21" s="1" t="s">
        <v>63</v>
      </c>
      <c r="C21" s="1" t="s">
        <v>56</v>
      </c>
      <c r="I21" t="s">
        <v>195</v>
      </c>
      <c r="N21" s="50" t="s">
        <v>132</v>
      </c>
      <c r="O21" s="1" t="s">
        <v>26</v>
      </c>
    </row>
    <row r="22" spans="2:17" x14ac:dyDescent="0.25">
      <c r="B22" s="1" t="s">
        <v>65</v>
      </c>
      <c r="C22" s="1" t="s">
        <v>60</v>
      </c>
      <c r="I22" t="s">
        <v>196</v>
      </c>
      <c r="N22" s="48" t="s">
        <v>133</v>
      </c>
      <c r="O22" s="1" t="s">
        <v>24</v>
      </c>
    </row>
    <row r="23" spans="2:17" x14ac:dyDescent="0.25">
      <c r="B23" s="1" t="s">
        <v>57</v>
      </c>
      <c r="C23" s="1" t="s">
        <v>49</v>
      </c>
      <c r="I23" t="s">
        <v>197</v>
      </c>
      <c r="N23" s="50" t="s">
        <v>134</v>
      </c>
      <c r="O23" s="1" t="s">
        <v>26</v>
      </c>
    </row>
    <row r="24" spans="2:17" x14ac:dyDescent="0.25">
      <c r="I24" t="s">
        <v>198</v>
      </c>
      <c r="N24" s="50" t="s">
        <v>135</v>
      </c>
      <c r="O24" s="1" t="s">
        <v>26</v>
      </c>
    </row>
    <row r="25" spans="2:17" x14ac:dyDescent="0.25">
      <c r="B25" s="2" t="s">
        <v>74</v>
      </c>
      <c r="D25" s="2" t="s">
        <v>77</v>
      </c>
      <c r="I25" t="s">
        <v>199</v>
      </c>
      <c r="N25" s="50" t="s">
        <v>136</v>
      </c>
      <c r="O25" s="1" t="s">
        <v>26</v>
      </c>
    </row>
    <row r="26" spans="2:17" x14ac:dyDescent="0.25">
      <c r="B26" s="1" t="s">
        <v>69</v>
      </c>
      <c r="D26" s="1" t="s">
        <v>78</v>
      </c>
      <c r="N26" s="50" t="s">
        <v>137</v>
      </c>
      <c r="O26" s="1" t="s">
        <v>26</v>
      </c>
    </row>
    <row r="27" spans="2:17" x14ac:dyDescent="0.25">
      <c r="B27" s="1" t="s">
        <v>75</v>
      </c>
      <c r="D27" s="1" t="s">
        <v>13</v>
      </c>
      <c r="N27" s="48" t="s">
        <v>138</v>
      </c>
      <c r="O27" s="1" t="s">
        <v>24</v>
      </c>
    </row>
    <row r="28" spans="2:17" x14ac:dyDescent="0.25">
      <c r="D28" s="1"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42" customWidth="1"/>
    <col min="2" max="2" width="99.7109375" style="42" customWidth="1"/>
    <col min="3" max="3" width="25.140625" style="42" customWidth="1"/>
    <col min="4" max="4" width="12" style="42" customWidth="1"/>
    <col min="5" max="16384" width="11.42578125" style="42"/>
  </cols>
  <sheetData>
    <row r="1" spans="1:4" s="35" customFormat="1" ht="52.5" customHeight="1" x14ac:dyDescent="0.2"/>
    <row r="2" spans="1:4" s="35" customFormat="1" ht="25.9" customHeight="1" x14ac:dyDescent="0.2">
      <c r="A2" s="218" t="s">
        <v>94</v>
      </c>
      <c r="B2" s="218"/>
      <c r="C2" s="218"/>
      <c r="D2" s="218"/>
    </row>
    <row r="3" spans="1:4" s="35" customFormat="1" ht="12.75" x14ac:dyDescent="0.2"/>
    <row r="4" spans="1:4" s="35" customFormat="1" ht="38.25" customHeight="1" x14ac:dyDescent="0.2">
      <c r="A4" s="36" t="s">
        <v>89</v>
      </c>
      <c r="B4" s="36" t="s">
        <v>90</v>
      </c>
      <c r="C4" s="37" t="s">
        <v>91</v>
      </c>
      <c r="D4" s="36" t="s">
        <v>92</v>
      </c>
    </row>
    <row r="5" spans="1:4" ht="60" customHeight="1" x14ac:dyDescent="0.25">
      <c r="A5" s="38"/>
      <c r="B5" s="39"/>
      <c r="C5" s="40"/>
      <c r="D5" s="41"/>
    </row>
    <row r="6" spans="1:4" ht="75" customHeight="1" x14ac:dyDescent="0.25">
      <c r="A6" s="43"/>
      <c r="B6" s="39"/>
      <c r="C6" s="40"/>
      <c r="D6" s="41"/>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LENOVO</cp:lastModifiedBy>
  <cp:lastPrinted>2021-03-01T21:57:04Z</cp:lastPrinted>
  <dcterms:created xsi:type="dcterms:W3CDTF">2014-12-15T18:53:48Z</dcterms:created>
  <dcterms:modified xsi:type="dcterms:W3CDTF">2022-04-10T22:28:01Z</dcterms:modified>
</cp:coreProperties>
</file>