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O:\Planeacion\2. PLANEACIÓN INSTITUCIONAL\03- Registros Planeación Institucional 2015-2018\01 PEI 2015-2018\PEI 2018\2. Informes\4. T4\"/>
    </mc:Choice>
  </mc:AlternateContent>
  <xr:revisionPtr revIDLastSave="0" documentId="13_ncr:1_{F3D78AF7-F018-4EC7-946A-58338ECD81CC}" xr6:coauthVersionLast="36" xr6:coauthVersionMax="36" xr10:uidLastSave="{00000000-0000-0000-0000-000000000000}"/>
  <bookViews>
    <workbookView xWindow="0" yWindow="0" windowWidth="20340" windowHeight="7050" xr2:uid="{00000000-000D-0000-FFFF-FFFF00000000}"/>
  </bookViews>
  <sheets>
    <sheet name="Portada" sheetId="3" r:id="rId1"/>
    <sheet name="Seguimiento PEI 4to trimestre " sheetId="1" r:id="rId2"/>
  </sheets>
  <definedNames>
    <definedName name="_xlnm.Print_Area" localSheetId="1">'Seguimiento PEI 4to trimestre '!$A$1:$U$27</definedName>
    <definedName name="_xlnm.Print_Titles" localSheetId="1">'Seguimiento PEI 4to trimestre '!$1:$8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9" i="1" l="1"/>
  <c r="R24" i="1"/>
  <c r="P24" i="1"/>
  <c r="O24" i="1"/>
  <c r="R23" i="1"/>
  <c r="P23" i="1"/>
  <c r="S22" i="1"/>
  <c r="R22" i="1"/>
  <c r="Q22" i="1"/>
  <c r="P22" i="1"/>
  <c r="O22" i="1"/>
  <c r="R21" i="1"/>
  <c r="P20" i="1"/>
  <c r="P21" i="1"/>
  <c r="R19" i="1"/>
  <c r="Q19" i="1"/>
  <c r="P19" i="1"/>
  <c r="S17" i="1"/>
  <c r="R17" i="1"/>
  <c r="P17" i="1"/>
  <c r="S16" i="1"/>
  <c r="R16" i="1"/>
  <c r="Q16" i="1"/>
  <c r="P16" i="1"/>
  <c r="R15" i="1" l="1"/>
  <c r="P15" i="1"/>
  <c r="P14" i="1"/>
  <c r="S14" i="1" l="1"/>
  <c r="R14" i="1"/>
  <c r="Q14" i="1"/>
  <c r="O14" i="1"/>
  <c r="N14" i="1"/>
  <c r="R13" i="1"/>
  <c r="S13" i="1" s="1"/>
  <c r="Q13" i="1"/>
  <c r="P13" i="1"/>
  <c r="O13" i="1"/>
  <c r="R12" i="1"/>
  <c r="S12" i="1"/>
  <c r="Q12" i="1"/>
  <c r="P12" i="1"/>
  <c r="O12" i="1"/>
  <c r="Q11" i="1" l="1"/>
  <c r="S11" i="1"/>
  <c r="R11" i="1"/>
  <c r="P11" i="1" l="1"/>
  <c r="M11" i="1" l="1"/>
  <c r="N11" i="1"/>
  <c r="O11" i="1"/>
  <c r="R10" i="1"/>
  <c r="P10" i="1"/>
  <c r="P9" i="1" l="1"/>
  <c r="R9" i="1"/>
  <c r="Q9" i="1"/>
  <c r="O9" i="1"/>
  <c r="N9" i="1"/>
  <c r="S24" i="1" l="1"/>
  <c r="S23" i="1"/>
  <c r="N24" i="1"/>
  <c r="N19" i="1"/>
  <c r="N21" i="1"/>
  <c r="N13" i="1" l="1"/>
  <c r="M13" i="1"/>
  <c r="N12" i="1"/>
  <c r="S10" i="1"/>
  <c r="M16" i="1" l="1"/>
  <c r="N16" i="1" s="1"/>
  <c r="L15" i="1" l="1"/>
  <c r="M15" i="1" s="1"/>
  <c r="N15" i="1" s="1"/>
  <c r="S15" i="1" l="1"/>
  <c r="S21" i="1"/>
  <c r="M22" i="1" l="1"/>
  <c r="N22" i="1" s="1"/>
  <c r="S19" i="1"/>
  <c r="M12" i="1"/>
  <c r="R18" i="1" l="1"/>
  <c r="S18" i="1" s="1"/>
  <c r="R20" i="1" l="1"/>
  <c r="S20" i="1" s="1"/>
</calcChain>
</file>

<file path=xl/sharedStrings.xml><?xml version="1.0" encoding="utf-8"?>
<sst xmlns="http://schemas.openxmlformats.org/spreadsheetml/2006/main" count="122" uniqueCount="84">
  <si>
    <t>I</t>
  </si>
  <si>
    <t>II</t>
  </si>
  <si>
    <t>III</t>
  </si>
  <si>
    <t>IV</t>
  </si>
  <si>
    <t xml:space="preserve">MATRIZ DE SEGUIMIENTO PLAN ESTRATÉGICO INSTITUCIONAL </t>
  </si>
  <si>
    <t>Objetivo estratégico</t>
  </si>
  <si>
    <t>Indicador Estratégico</t>
  </si>
  <si>
    <t>Frecuencia de medición</t>
  </si>
  <si>
    <t>Meta cuatrienio</t>
  </si>
  <si>
    <t>Área responsable</t>
  </si>
  <si>
    <t>Meta
2015</t>
  </si>
  <si>
    <t>Meta
2016</t>
  </si>
  <si>
    <t>Meta
2017</t>
  </si>
  <si>
    <t>Meta
2018</t>
  </si>
  <si>
    <t>Mejorar la calidad y el impacto de la investigación y la transferencia de conocimiento y tecnología</t>
  </si>
  <si>
    <t>Becas para la formación de maestría y doctorado nacional y exterior financiados por Colciencias y otras entidades</t>
  </si>
  <si>
    <t>Trimestral</t>
  </si>
  <si>
    <t>N/A</t>
  </si>
  <si>
    <t>Promover el desarrollo tecnológico y la innovación como motor de crecimiento empresarial y del emprendimiento</t>
  </si>
  <si>
    <t>Empresas apoyadas en procesos de innovación por Colciencias</t>
  </si>
  <si>
    <t>Semestral</t>
  </si>
  <si>
    <t>Generar una cultura que valore y gestione el conocimiento y la innovación</t>
  </si>
  <si>
    <t>Personas sensibilizadas a través de estrategias enfocadas en el uso, apropiación y utilidad de la CTeI</t>
  </si>
  <si>
    <t>Niños y jóvenes apoyados en procesos de vocación científica y tecnológica</t>
  </si>
  <si>
    <t>Desarrollar un sistema e institucionalidad habilitante para la CTeI</t>
  </si>
  <si>
    <t>Ciudades con pacto por la innovación en ejecución</t>
  </si>
  <si>
    <t>Políticas CTeI aprobadas y en implementación</t>
  </si>
  <si>
    <t>Porcentaje de los recursos ejecutados a través del FFJC por entidades aportantes diferentes a Colciencias</t>
  </si>
  <si>
    <t>Desarrollar proyectos estratégicos y de impacto en CTeI a través de la articulación de recursos de la nación, los departamentos y otros actores</t>
  </si>
  <si>
    <t>Generar vínculos entre los actores del SNCTI y actores internacionales estratégicos</t>
  </si>
  <si>
    <t>Convertir a COLCIENCIAS en Ágil, Moderna y Transparente</t>
  </si>
  <si>
    <t xml:space="preserve">Índice Ágil, Transparente y Moderna (ATM) </t>
  </si>
  <si>
    <t>Propiciar condiciones para conocer valorar conservar y aprovechar nuestra biodiversidad</t>
  </si>
  <si>
    <t>Mensual</t>
  </si>
  <si>
    <t>Anual</t>
  </si>
  <si>
    <t>Resultado 2015</t>
  </si>
  <si>
    <t>Dirección de Fomento a la Investigación</t>
  </si>
  <si>
    <t>Dirección de Desarrollo Tecnológico e Innovación</t>
  </si>
  <si>
    <t>Dirección de Mentalidad y Cultura para la CTeI</t>
  </si>
  <si>
    <t>Subdirección General</t>
  </si>
  <si>
    <t>Dirección de Fomento a la Investigación
Dirección de Desarrollo Tecnológico e Innovación
Dirección de Mentalidad y Cultura para la CTeI</t>
  </si>
  <si>
    <t>Equipo de Gestión Territorial</t>
  </si>
  <si>
    <t>Línea de base</t>
  </si>
  <si>
    <t>Equipo de Internacionalización</t>
  </si>
  <si>
    <t>Dirección Administrativa y Financiera
Equipo de Comunicaciones
Secretaría General
Oficina de Control Interno
Oficina de TIC
Oficina Asesora de Planeación</t>
  </si>
  <si>
    <t>Dirección General</t>
  </si>
  <si>
    <t>Proyectos de investigación apoyados</t>
  </si>
  <si>
    <t>SEGUIMIENTO TRIMESTRAL PLAN ESTRATÉGICO INSTITUCIONAL 2015-2018</t>
  </si>
  <si>
    <t>Avance Meta Cuatrienio</t>
  </si>
  <si>
    <t>Nuevos registros de especies en el Global Biodiversity Information Facility (GBIF) aportadas por Colombia</t>
  </si>
  <si>
    <t>250.000
(2015</t>
  </si>
  <si>
    <t>Resultado 2016</t>
  </si>
  <si>
    <t>% de avance de meta cuatrienio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</si>
  <si>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</si>
  <si>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</si>
  <si>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</si>
  <si>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 xml:space="preserve">
* Se declara el plan estratégico institucional como el mismo plan estratégico sectorial por ser Colciencias cabeza de sector y no tener instituciones o entidades adscritas
** Cifras acumuladas 
***N/A: No aplica. Refiere a que no se programa  meta para el trimestre</t>
  </si>
  <si>
    <t>Avance Trimestral  2018</t>
  </si>
  <si>
    <t>% de avance de la meta 2018</t>
  </si>
  <si>
    <t>Resultado 2017</t>
  </si>
  <si>
    <t>Planes y acuerdos suscrito y acompañados</t>
  </si>
  <si>
    <t>Licenciamientos tecnológicos apoyados</t>
  </si>
  <si>
    <r>
      <rPr>
        <b/>
        <sz val="12"/>
        <color theme="1"/>
        <rFont val="Segoe UI"/>
        <family val="2"/>
      </rPr>
      <t xml:space="preserve">Análisis cualitativo:
</t>
    </r>
    <r>
      <rPr>
        <sz val="12"/>
        <color theme="1"/>
        <rFont val="Segoe UI"/>
        <family val="2"/>
      </rPr>
      <t>El indicador de Ciudades con Pacto, cumplió meta cuatrienio y se tenia prevista hasta 2017. No obstante desde la Desde la Dirección de Desarrollo Tecnológico e Innovación, se han proyectado implementar la Sostenibilidad de Pactos, cuyos resultados aportarán a la meta de "Empresas apoyadas en Procesos de Innovación para el tercer y cuatro trimestre de la vigencia 2018.</t>
    </r>
    <r>
      <rPr>
        <b/>
        <sz val="12"/>
        <color theme="1"/>
        <rFont val="Segoe UI"/>
        <family val="2"/>
      </rPr>
      <t xml:space="preserve">
Conclusiones/Recomendaciones</t>
    </r>
    <r>
      <rPr>
        <sz val="12"/>
        <color theme="1"/>
        <rFont val="Segoe UI"/>
        <family val="2"/>
      </rPr>
      <t xml:space="preserve">
Finalizado el proceso de suscricpión de los pactos, es necesario que desde la Dirección de Desarrollo Tecnológico e Innovación se implementen estrategias de seguimiento a los resultados de dichos pactos en las ciudades que se adhirieron a este compromiso.</t>
    </r>
  </si>
  <si>
    <t>Artículos científicos publicados en revistas científicas especializadas por investigadores colombianos ****</t>
  </si>
  <si>
    <t>Registros de patentes solicitadas por residentes en oficina nacional y PCT****</t>
  </si>
  <si>
    <t>Porcentaje de asignación del cupo de inversión para deducción tributaria****</t>
  </si>
  <si>
    <t>Alianzas Estratégicas internacionales en términos de recursos y capital político****</t>
  </si>
  <si>
    <t xml:space="preserve">**** Este indicador es de acumulación tipo flujo, a través del cual se miden los logros en aquellas actividades que se repiten cada año y alo largo de este, sin que los resultados de un año afecten los del año anterior o el siguiente. El logro del cuatrienio está determinado por el desempeño del último año, por lo que la línea base corresponde al resultados alcanzado en el último año del cuatrienio inmediatamente anterior. </t>
  </si>
  <si>
    <r>
      <rPr>
        <b/>
        <sz val="12"/>
        <color theme="1"/>
        <rFont val="Segoe UI"/>
        <family val="2"/>
      </rPr>
      <t>Análisis cualitativo:</t>
    </r>
    <r>
      <rPr>
        <sz val="12"/>
        <color theme="1"/>
        <rFont val="Segoe UI"/>
        <family val="2"/>
      </rPr>
      <t xml:space="preserve"> 
En el marco de la medición de Personas sensibilizadas a través de estrategias enfocadas en el uso, apropiación y utilidad de la CTeI, para el tercer trimestre de 2018 se reporta un total de 2.346.579 distribuidas así:
 - 1.263.660 personas sensibilizadas del componente de Difusión, aportadas a través de las diferentes estrategias digitales como los estrenos de los documentales Cita con la trocha y Ser o no ser en el Canal de Televisión Nacional y Señal Colombia así como de capítulos de Colombia Bio, personas impactadas en eventos presenciales, reproducciones en Youtube y visualizaciones en redes sociales
- ATRÉVETE con un aporte  83.302 personas sensibilizadas con la iniciativa de Ideas para el Cambio, proyecto Especial de la comunidad Indígena del Cauca y A Ciencia Cierta en su cuarta versión continuando con los encuentros, evento y tejido de redes virtuales que se implementaron desde el primer trimestre.
- Comunicamos lo que hacemos (Personas Sensibilizadas Ecosistema Digital) para el período Enero a septiembre de 2018 se lograron sensibilizar 999.017 a través de publicaciones en redes sociales y páginas web de aliados.
- Programa TIC se cumple la meta establecida de 600 personas sensibilizadas mediante las iniciativas de Ejecución y Seguimiento CEA y la convocatoria 797 Formación Ciudadanos Ciencia de Datos.
</t>
    </r>
    <r>
      <rPr>
        <b/>
        <sz val="12"/>
        <color theme="1"/>
        <rFont val="Segoe UI"/>
        <family val="2"/>
      </rPr>
      <t xml:space="preserve"> 
Conclusiones/Recomendaciones:</t>
    </r>
    <r>
      <rPr>
        <sz val="12"/>
        <color theme="1"/>
        <rFont val="Segoe UI"/>
        <family val="2"/>
      </rPr>
      <t xml:space="preserve">
Teniendo en cuenta el alcance del indicador de personas sensibilizadas, es necesario revisar metodológicamente para los próximas vigencias (si se decide continuar con esta métrica) depurar las estrategias que contarán, dada la línea base alcanzada durante el cuatrienio 2015-2018.</t>
    </r>
  </si>
  <si>
    <r>
      <t xml:space="preserve">A 31 de diciembre de 2018, se presenta avance cuantitativo del indicador de 1.922  becas de maestría y doctorado nacional y exterior; y la gestión asociada se registra a continuación
</t>
    </r>
    <r>
      <rPr>
        <b/>
        <sz val="10"/>
        <color theme="1"/>
        <rFont val="Segoe UI"/>
        <family val="2"/>
      </rPr>
      <t>Formación de capital humano para la CTeI</t>
    </r>
    <r>
      <rPr>
        <sz val="10"/>
        <color theme="1"/>
        <rFont val="Segoe UI"/>
        <family val="2"/>
      </rPr>
      <t xml:space="preserve">
Respecto a la Convocatoria de formación para estudios de maestría y doctorado en el exterior COLFUTURO,  su apertura se dió el 9 de enero de 2018 y el cierre 28 de febrero. Durante el mes de junio se hizo oficial el otorgamiento de 1.365 créditos beca para estudios de maestría y doctorado, con lo cual se dio inicio al proceso de legalización de los mismos. De estas becas se otorgaron 143 becas de doctorado y 1222 becas para maestrías, del total de becarios se beneficio a personas de grupos priorizados así: 17 beneficiarios de grupos afrodescendientes y 8 personas procedentes de comunidades indígenas. 
Respecto 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cuya fecha de apertura fue  el 15 de febrero y  su cierre se dió el 15 de mayo de 2018, con un número total de 132 propuestas de candidatos presentadas. La lista de candidatos que fueron elegidos determinando un total de 20 becas de doctorado en el exterior. Paralelamente, se dió inicióal contrato que da paso a la operación de apoyo (LASPAU) con Fulbright y se inició el proceso de acompañamiento de mejoramiento de perfil de los candidatos. 
Frente a la formación de capital humano de alto nivel para las regiones, durante la vigecia se adelantó la publicación del banco preliminar de elegibles de las convocatorias de Atlántico con los siguientes resultados en sus banco preliminares: Candidatos de Doctorado Nacional: 97, Candidatos de Doctorado en el exterior 17, Candidatos de Maestría Nacional: 326 y Candidatos de Maestría en el Exterior: 9, por otra parte de la convocatoria del departamento de La Guajira tuvo dentro de sus elegibles preliminares 117 candidatos para maestría a nivel nacional y 19 candidatos para maestría en el exterior. Por otro lado, se realizó la revisión de requisitos para las Convocatorias 821 (Cesar docentes), 822 (Cauca docentes) y 823 (Formación Cauca), para dar inicio al proceso de evaluación.
Se debe recordar que desde la iniciativa de ejecución y seguimiento a los Centros de Excelencia en Apropiación (CEA) se tiene un aporte de 13 becas de Maestría a nivel nacional en universidades acreditadas de alta calidad como aporte a la gestión este indicador estratégico. 
</t>
    </r>
    <r>
      <rPr>
        <b/>
        <sz val="10"/>
        <color theme="1"/>
        <rFont val="Segoe UI"/>
        <family val="2"/>
      </rPr>
      <t>Articulación de oferta y demanda para recurso humano de alto nivel</t>
    </r>
    <r>
      <rPr>
        <sz val="10"/>
        <color theme="1"/>
        <rFont val="Segoe UI"/>
        <family val="2"/>
      </rPr>
      <t xml:space="preserve">
El 22 de marzo de la vigencia de 2018,  se dió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En la fase II de la convocatoria se tiene un total de 207 propuestas registradas, es importante recordar que en esta segunda fase las entidades del SNCTeI presentaron sus propuestas de investigación, desarrollo tecnológico o innovación en conjunto con los doctores que realizarán la estancia postdoctoral en el marco de las mismas. Finalmente, el 26 de noviembre se publicaronlos resultados del banco definitivo de elegibles con un total de 179 propuestas. Más del 70%de las estancias se llevará a cabo en universidades, seguida por centros e institutos de investigación y enmenor proporción con actores del sector productivo.
</t>
    </r>
    <r>
      <rPr>
        <b/>
        <sz val="10"/>
        <color theme="1"/>
        <rFont val="Segoe UI"/>
        <family val="2"/>
      </rPr>
      <t>Conclusiones/Recomendaciones</t>
    </r>
    <r>
      <rPr>
        <sz val="10"/>
        <color theme="1"/>
        <rFont val="Segoe UI"/>
        <family val="2"/>
      </rPr>
      <t xml:space="preserve">
El indicador logró el 100% de cumplimiento frente a la meta proyectada para el año 2018; no obstante, debido a incumplimiento de metas de las vigencias 2016 y 2017, no fue posible alcanzar sino el 96% de la meta cuatrienio (8.319 de 8.6660 proyectadas). Para el cuatrienio se recomienda separar la medición de las becas de doctorado y maestría, así como de las estancias posdoctorales, debido a la importancia de mostrar separadamente los esfuerzos realizados desde Colciencias por nivel de formación. En esa línea es posible registrar más fácilmente los recursos destinados para la formación de alto nivel en el país.</t>
    </r>
  </si>
  <si>
    <r>
      <rPr>
        <b/>
        <sz val="10"/>
        <color theme="1"/>
        <rFont val="Segoe UI"/>
        <family val="2"/>
      </rPr>
      <t>Análisis cualitativo:</t>
    </r>
    <r>
      <rPr>
        <sz val="10"/>
        <color theme="1"/>
        <rFont val="Segoe UI"/>
        <family val="2"/>
      </rPr>
      <t xml:space="preserve">
Con corte al 31 de diciembre de 2018, se registraron 13.848 artículos, valor que alcanzala meta establecida al corte del cuarto trimestre. El comportamiento puede asociarse a la tendencia de publicación en el segundo semestre y tercer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13,6% corresponde al área de Medicina, 12,4% Ciencias Sociales, 10,1% de Ingeniería, 7,2% Agricultura y Ciencias Biológicas, 7,0% Ciencias de la Computación, 5,3% Física y Astronomía, entre otras áreas. Vale resaltar que, en la clasificación, Scopus utiliza 27 áreas temáticas, en las cuales las revistas al estar multicategorizadas genera que un mismo artículo puede estar contabilizado en más de un área temática.
</t>
    </r>
    <r>
      <rPr>
        <b/>
        <sz val="10"/>
        <color theme="1"/>
        <rFont val="Segoe UI"/>
        <family val="2"/>
      </rPr>
      <t>Conclusiones / Recomendaciones:</t>
    </r>
    <r>
      <rPr>
        <sz val="10"/>
        <color theme="1"/>
        <rFont val="Segoe UI"/>
        <family val="2"/>
      </rPr>
      <t xml:space="preserve">
En  el período, se registraron 13.848  artículos científicos publicados en revistas científicas especializadas por investigadores colombianos, valor que alcanza  el 100% la meta establecida tanto para la vigencia 2018 como para el cuatrienio. El comportamiento puede asociarse a la tendencia de publicación al cierre de 2018,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t>
    </r>
  </si>
  <si>
    <r>
      <rPr>
        <b/>
        <sz val="10"/>
        <color theme="1"/>
        <rFont val="Segoe UI"/>
        <family val="2"/>
      </rPr>
      <t>Análisis cualitativo:</t>
    </r>
    <r>
      <rPr>
        <sz val="10"/>
        <color theme="1"/>
        <rFont val="Segoe UI"/>
        <family val="2"/>
      </rPr>
      <t xml:space="preserve">
'El registro de apoyo a proyectos de investigación se da a continuación por convocatoria: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logra la financiación de 18 proyectos de investigación apoyados en la primera convocatoria y 5 proyectos más en la segunda convocatoria de esta iniciativa a la cual se dio paso para el cumplimiento de la meta de la iniciativa. En total se logra la meta con 23 proyectos de investigación apoyados.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Se logra la meta con 12 proyectos financiados publicando del banco de financiables el pasado 28 de diciembre.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Tras la definición del banco de financiables el 01 de agosto en la cual se detallan los 21 proyectos apoyados desde esta iniciativa se da paso a la segunda convocatoria de esta iniciativa en la cual esta segunda etapa aporta a la meta con 8 proyectos de investigación en total 29 proyectos de investigación apoyados.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semestre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producto de la convocatoria 778. Para esta segunda convocatoria se lograron un total de 39 proyectos de investigación apoyados en 4 de los focos de: alimentos, energía sostenible, bioeconomía y sociedad. En esta oportunidad se tuvo una inversión de $71.8 mil millones de pesos.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Para la convocatoria 807: Convocatoria para Proyectos de Ciencia, Tecnología e Innovación en Salud 2018: Se dio cumplimiento a la meta definida para el indicador con un total de 114 proyectos financiados distribuidos de la siguiente forma:
(107) Proyectos de la Convocatoria 807-2018
(2) Proyectos de la Invitación 894-2018
(5) Proyectos de la Invitación 896-2018. 
Con respecto al número de proyectos financiados del banco de elegibles de la convocatoria 777 se logró la financiación de 51 proyectos de los 53 que estaban como meta para esta convocatoria. Lo anterior debido a que dos de las Universidades seleccionadas desistieron de la financiación debido a que sus investigadores principales renunciaron.  A continuación, se relacionan las Universidades que se retiraron: Universidad Manuela Beltrán e Instituto Metropolitano de Medellín.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esta convocatoria se presentaron cerca de 550 propuestas de las cuales 489 cumplieron los requisitos mínimos, en donde finalmente quedan como financiables en cada eje el siguiente número de proyectos: 
En el eje n°1 Desafíos para la paz: 29 proyectos financiables.
En el eje n°2 Crecimiento Verde: 33 proyectos financiables. 
En el eje n°3 Agregación de valor a recursos renovables y no renovables: 37 proyectos financiables. 
En esta convocatoria se logra tener un mayor número de propuestas a financiar gracias a una adición de recursos del fondo FIS el cual permite la mayor financiación de proyectos y a que varios de los proyectos no solicitaron el máximo de proyectos a financiar.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Se tuvo abierta la invitación hasta el día 05 de junio y se recibieron en total 5 propuestas de las cuales se seleccionaron para ser financiados 2 proyectos de investigación, una en el departamento de Cundinamarca en el municipio de Sesquilé y otra en el departamento de Antioquia en el municipio de Chigorodó.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Como resultado de la invitación se selecciona una propuesta que permite financiar 1 proyecto de investigación como estaba planeado. 
j) Invitación a presentar propuesta para el Fortalecimiento del Portafolio I+D+i en Seguridad y Defensa: en primer trimestre de 2018, se elaboraron las condiciones de la Invitación en conjunto con el equipo técnico de la Dirección de Ciencia y Tecnología de la Armada Nacional. Como resultado de la invitación se logrará financiar un total de 8 proyectos de investigación en alianza con la Escuela Naval de Cadetes “Almirante Padilla”. 
a en el proceso de selección de proyectos de las convocatorias que apoyan a esta iniciativa desde Colombia BIO, 24 proyectos de investigación de la convocatoria para proyectos de I+D para el desarrollo tecnológico de base biológica que contribuyan a los retos del Departamento de Boyacá y 12 proyectos de la convocatoria regional para fortalecer capacidades de CTeI de los actores departamentales por medio de la financiación de proyectos de investigación y desarrollo experimental que respondan a los retos en materia de Medio ambiente, Biodiversidad y Recursos Ecosistémicos del Departamento de Cundinamarca de Colombia BIO. 
De forma similar, es importante destacar el aporte al indicador estratégico de proyectos de investigación desde el apoyo que se brinda con el desarrollo de las convocatorias de movilidad internacional y que aporta 14 proyectos de investigación apoyados. 
</t>
    </r>
    <r>
      <rPr>
        <b/>
        <sz val="10"/>
        <color theme="1"/>
        <rFont val="Segoe UI"/>
        <family val="2"/>
      </rPr>
      <t>Conclusiones / Recomendaciones:</t>
    </r>
    <r>
      <rPr>
        <sz val="10"/>
        <color theme="1"/>
        <rFont val="Segoe UI"/>
        <family val="2"/>
      </rPr>
      <t xml:space="preserve">
Con esto se logra el 100% de la meta para el vigencia y un 100% de la meta de la cuatrienio. </t>
    </r>
  </si>
  <si>
    <r>
      <rPr>
        <b/>
        <sz val="10"/>
        <color theme="1"/>
        <rFont val="Segoe UI"/>
        <family val="2"/>
      </rPr>
      <t>Análisis cualitativo</t>
    </r>
    <r>
      <rPr>
        <sz val="10"/>
        <color theme="1"/>
        <rFont val="Segoe UI"/>
        <family val="2"/>
      </rPr>
      <t xml:space="preserve">
A 31 de diciembre de 2018, se reportaron 1478 empresas en procesos de innovación como producto de la gestión del los siguientes programas:
Desde el programa de Alianzas para la Innovación se apoyaron 866 empresas apoyadas en procesos de innovación de las 880  planeadas para apoyar en el año 2018; en donde 330 empresas se lograron de la iniciativa invitación para apoyar empresas beneficiadas de Alianzas para la innovación para el desarrollo de proyectos o prototipos. Y 536 empresas bajo la iniciativa de formación de empresas en procesos de innovación a través de sesiones de mentalidad innovadora en alianza con la cámara de comercio de Bogotá.
Desde el programa de Sistemas de Innovación Empresarial se apoyaron 265 empresas en procesos de innovación,  146 empresas apoyadas bajo la iniciativa de implementación de la estrategia de Sistemas de Innovación Empresarial, 84 empresas apoyadas bajo la iniciativa de selección de empresas beneficiadas – Sistemas de Innovación Empresarial regiones y 35 empresas apoyadas de la iniciativa de Sostenibilidad de la estrategia de Sistemas de Innovación empresarial.
Desde el programa de Beneficios Tributarios se apoyaron 157 empresas en procesos de innovación.
Desde el Programa TIC se apoyaron 85 empresas en procesos de innovación de las 104 empresas planeadas ; donde 2 empresas apoyadas en primer semestre de la iniciativa Seguimiento y Ejecución convocatoria 789 de 2017. Asimismo, 11 empresas apoyadas en procesos de innovación bajo la iniciativa de En el marco del desarrollo del proyecto "Incuba TI" para el tercer trimestre. Se le suman 10 empresas apoyadas en procesos de innovación de la iniciativa Convocatoria para Seleccionar empresas TI para acompañar en la fase de Expansión, en donde se evidencio un sobrecumplimiento de 3 empresas más, pues la meta eran 7 y se lograron 10. También, 4 empresas apoyadas en proceso de innovación bajo la iniciativa de Selección de emprendedores de Apps.co que desarrollen soluciones tecnológicas en la fase de Oferta y Demanda, sin embargo, solo se apoyaron 4 de 5 planeadas para dicha iniciativa. 58 empresas apoyadas de la iniciativa Fortalecimiento Cluster TI mediante la transferencia de un sistema de gestión de I+D+i, esto se debió a que no se logró que todas las empresas se asociaran a los clusters.
Desde el programa Pacto por la Innovación se apoyaron 80 empresas en procesos de innovación.
Desde I+D+i se cumplieron 25 empresas en proceso de innovación de las 68 empresas planeadas para apoyar en el año 2018
</t>
    </r>
    <r>
      <rPr>
        <b/>
        <sz val="10"/>
        <color theme="1"/>
        <rFont val="Segoe UI"/>
        <family val="2"/>
      </rPr>
      <t>Conclusiones/Recomendaciones</t>
    </r>
    <r>
      <rPr>
        <sz val="10"/>
        <color theme="1"/>
        <rFont val="Segoe UI"/>
        <family val="2"/>
      </rPr>
      <t xml:space="preserve">
Dados los resultados, se evidencia un cumplimiento del 77% de lame ta para la vigencia de 2018 y un 100% de cumplimiento de la meta cuatrienio. Esta sutuación se presenta debido a sobrecumplimiento respecto a las metas de los años 2016 y 2017 (795 empresas) quye sopesaron el cumplimiento por debajo de lo planeado de la vigencia 2018.
Se recomienda en el marco de la planeación estratégica 2019-2022, revisar la posibilidad de formular un indicador que permitan medir resultados en términos de la evolución de los programas de Alianzas, Sistemas y Pactos por la Innovación. </t>
    </r>
  </si>
  <si>
    <r>
      <t xml:space="preserve">Al cierre de la vigencia  de 2018 se lograron constituir 14 spin off, (empresas  de base tenológica de origenuniversitario) y cuatro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Contratos de licenciamiento: 
a) 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c) ) Contrato de licenciamiento tecnológico entre un investigador independiente y la empresa Abono Orgánico en la ciudad de Bucaramanga, y con el acompañamiento de la OTRI EO.
d) Contrato de licenciamiento tecnológico entre Zhana Solutions SAS y la empresa Servigenerales Ciudad de Tunja SA, con el acompañamiento de la OTRI Connect - Cundinamarca.
Lo anterior, en eol marco del programa de fortalecimiento de Oficinas de Transferencia de Resultados de Investigación- OTRI, actores encargados de ser organizaciones intermediarias en el proceso de transferencia de conocimiento y tecnología, estos actores facilitan el intercambio para lograr acuerdos entre la industria y las universidades, así como la búsqueda de presupuestos para desarrollar proyectos de co-creación.
Se trabajó con las cinco (5) Oficinas Regionales de Transferencia de Resultados de Investigación Cientech (Atlántico), Tecnnova UEE (Antioquia), Connect Bogotá (Cundinamarca), Estratégica Oriente (Santanderes) y Reddi (Valle del Cauca). Con el aporte y trabajo de estas oficinas se logró la meta planteada en el PND 2014-2018 de 15 contratos de licencia.
En este sentido, los esfuerzos realizados para el fortalecimiento de las OTRI, se consolidaron en “JOINN - Red Nacional de OTRI”, la cual cuenta con un modelo de gobernanza definida, con un portafolio de servicios, los cuales fueron piloteados con el acompañamiento del consultor Creative Lab proporcionado en el marco del proyecto de colaboración Colombo-Suizo COLIPRI y lograron establecer un acuerdo de colaboración y conformación para la red de Oficinas de Transferencia Tecnológica Alianza del Pacifico (OTTAP), constituida por Chile, Colombia, Perú y México, apoyados por la división CTI del Banco Interamericano de Desarrollo (BID), lo que permitirá un intercambio continuo de experiencias con el fin de fortalecerse mutuamente y aumentar las posibilidades de éxito en la generación de negocios tecnológicos de alcance global.
Spin Off
A 31 de diciembre de 2018, se reportaron 14 spin off, 4 aportadas desde el programa de transferencia de conocimiento y 11 por cuenta del Programa TIC, cuya distribución geográfica, da cuenta de 5 constituidas  en Antioquia,  3 en Bogotá,  2 en el departamento de Santander y 2 en Valle, 1 en Cauca  y Caldas. Estas OTRI. Cada una con marco legal para la constitución empresarial, estrategias de propiedad intelectual, estructuración de modelos de negocio en cada proyecto e institución
</t>
    </r>
    <r>
      <rPr>
        <b/>
        <sz val="10"/>
        <color theme="1"/>
        <rFont val="Segoe UI"/>
        <family val="2"/>
      </rPr>
      <t xml:space="preserve">Evaluación/Recomendación
</t>
    </r>
    <r>
      <rPr>
        <sz val="10"/>
        <color theme="1"/>
        <rFont val="Segoe UI"/>
        <family val="2"/>
      </rPr>
      <t>A cierre de  de 2018, se logró cumplir el 100% tanto de la vigenvia como del cuatrienio.
meta de la vigencia y el 68% de la meta del cuatrienio.
El comportamiento del indicador  de Licenciamientos Tecnológicos ha sido favorable. Se resaltan los resultados alcanzados en el cuatrienio. Se recomienda dar continuidad en el programa dadas las apuestas  respecto a este tema de acuerdo a las apuestas del PND 2018-2022.</t>
    </r>
  </si>
  <si>
    <r>
      <rPr>
        <b/>
        <sz val="12"/>
        <color theme="1"/>
        <rFont val="Segoe UI"/>
        <family val="2"/>
      </rPr>
      <t>Análisis cualitativo</t>
    </r>
    <r>
      <rPr>
        <sz val="12"/>
        <color theme="1"/>
        <rFont val="Segoe UI"/>
        <family val="2"/>
      </rPr>
      <t>:
En el período de enero a octubre de 2018, se reportaron desde la Superintendencia de Industria y Comercio (SIC) un total de 295 registros de patentes solicitadas por residentes en oficina nacional y PCT. Vale señalar que el dato registrado es preliminar con corte a octubre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y teniendo en cuenta que la convocatoria tuvo una fecha de apertura en el tercer trimestre del año y por ende su cierre definitivo se dio en el mes de octubre y el proceso de contratación inició en el mes de noviembre no fue posible adelantar la radicación de estas invenciones en el año 2018, porque los aliados técnico-jurídicos requieren de cuatro meses para el proceso, es decir, que el resultado de esta convocatoria se verá el primer semestre de 2019.
Con relación a la Brigada de Patentes y Fondos Regionales de Fomento a la Protección de Invenciones, los aliados regionales de Bucaramanga, Barranquilla y Cali continúan adelantando acciones para lograr cerrar la ejecución de las estrategias en la región a través de la radicación de las últimas solicitudes ante la SIC. 
En lo que respecta al estudio de resultados e impacto de las solicitudes de patentes apoyadas por Colciencias,  finalizando junio se culminó la estructuración de la documentación de invitación. La invitación fue remitida el pasado 17 de julio y estuvo abierta hasta el 17 de agosto. Se recibieron cuatro propuestas que se encuentran en fase de evaluación: a) Universidad Nacional de Colombia, b) Colegio Mayor de Nuestra Señora del Rosario - Universidad del Rosario, c) Innventa y d) Observatorio Colombiano de Ciencia y Tecnología: OCyT.
Teniendo en cuenta que la convocatoria tuvo una fecha de apertura en el tercer trimestre del año y por ende su cierre definitivo se dio en el mes de octubre y el proceso de contratación inició en el mes de noviembre no es posible adelantar la radicación de estas invenciones en el año 2018, porque los aliados técnico-jurídicos requieren de cuatro meses para el proceso, es decir, que el resultado de esta convocatoria se verá el primer semestre de 2019.
Frente a l estudio de Propiedad Intelectual, este se llevará a cabo en el año 2019, teniendo en cuenta que la demanda de las tres convocatorias que gestionó el equipo de Propiedad Intelectua  el cual l arroja importantes resultados para el indicador de patentes en la Entidad, de tal manera que contar con los datos generados en el año 2018, sería posible determinar el impacto completo del cuatrienio que termina, recopilando la totalidad de los datos de este indicador. Por esta razón no se contrató, ni desarrolló el estudio en el año 2018, de acuerdo con lo planeado.
En cuanto al trámite de contratación se deja en el año 2018 terminado el proceso de evaluación y  selección de la Entidad a cargo de desarrollar el estudio en el año 2018, tratándose del Observatorio Colombiano de Ciencia y Tecnología – OCyT. La aprobación de la contratación de este estudio ya fue aprobado en primera instancia por parte del Comité de Dirección Técnica, el día 28 de diciembre de 2018.
Evaluación/Recomendación
Este indicador ha sido determinante para evidenciar los avances en temas de propiedad intelectual en el país. En lo que lleva del cuatrienio se ha multiplicadopor 4, las solicitudes de registros de patentes han pasado 123 en 2010 a 2017 en 595.No obstante, el comportamiento del indicador en 2018  ha presentado resultados menores a los esperados. Para cierre de 2018, es importante determinar los resultados de las estrategias asociados al programa de Brigada de Patentes y Fondo de Protección de Patentes, de cara a los lineamientos del Gobierno establecidos en el nuevo Plan Nacional de Desarrollo 2018-2022.</t>
    </r>
  </si>
  <si>
    <r>
      <rPr>
        <b/>
        <sz val="12"/>
        <color theme="1"/>
        <rFont val="Segoe UI"/>
        <family val="2"/>
      </rPr>
      <t>Análisis cualitativo</t>
    </r>
    <r>
      <rPr>
        <sz val="12"/>
        <color theme="1"/>
        <rFont val="Segoe UI"/>
        <family val="2"/>
      </rPr>
      <t xml:space="preserve">
Para el cuarto trimestre del 2018, se registraron un total de 382.722 niños y jóvenes apoyados en procesos de vocación científica. La cifra reportada hace parte de la gestión realizada que a continuación se detalla:
- Programa Ondas reporta un total de 147.083 473 niños y jóvenes apoyados en procesos de vocación científica. La cifra reportada hace parte las actvidades realizadas desde la iniciativa de gestión territorial del Programa Ondas (73.738) y Proyectos Especiales (73.345) . Desde el frente de Gestión Territorial  cual se realizó del acompañamiento a los departamentos y entidades aliadas para la formulación de propuestas de implementación del programa Ondas. Asimismo, se continuó con el proceso de acompañamiento a regiones que se encuentran en implementación del programa a través de  diversos medios, especificamente a los departamentos de Antioquia, Atlántico, Boyacá, Huila, Risaralda, Santander y la región de Urabá.
Referente al Programa Jóvenes Investigadores e Innovadores  se reportaron un total de 235.639 Jóvenes en Procesos de Vocación Científica distribuidos por estrategia asÍ: 382 Convocatorias Tradicional Jóvenes Investigadores, 186 Alianza SENA, 254 Comunidad Jóvenes Investigadores, 26 Gestión Territorial, 6 Alianza pfizer SENA y 234.785 Mapeo Iniciativas País.
</t>
    </r>
    <r>
      <rPr>
        <b/>
        <sz val="12"/>
        <color theme="1"/>
        <rFont val="Segoe UI"/>
        <family val="2"/>
      </rPr>
      <t xml:space="preserve">
Conclusiones/Recomendaciones</t>
    </r>
    <r>
      <rPr>
        <sz val="12"/>
        <color theme="1"/>
        <rFont val="Segoe UI"/>
        <family val="2"/>
      </rPr>
      <t xml:space="preserve">
Se logra cumplir el 100% de la meta de la vigencia y 96,1% de la meta del cuatrienio.
Lo anterior da cu enta que aunque se logró la meta en 2018, el resultado del indicador en el año 2016,  afectó de manera considerable el logro de la meta cuatrienio. Vale resaltar también que las cifras reportadas se registran gracias a los programas Ondas y Jóvenes Investigadores, donde las estrategias son diversas, así com los recursos asignados varían de acuerdo al actor.
Se recomienda en el cuatrienio 2019-2022, dividir el indicador, teniendo en cuenta que los actores que participan hacen parte de procesos de vocación científica y niveles de intervención distintos. Para el caso, de la estrategia de mapeo, es necesario revisar su aporte para mediciones posteriores, dados que la misma puede distorsionar los avances frente a los instrumentos que apoyan la formación de jóvenes investigadores.</t>
    </r>
  </si>
  <si>
    <r>
      <rPr>
        <b/>
        <sz val="12"/>
        <color theme="1"/>
        <rFont val="Segoe UI"/>
        <family val="2"/>
      </rPr>
      <t xml:space="preserve">Análisis cualitativo:
</t>
    </r>
    <r>
      <rPr>
        <sz val="12"/>
        <color theme="1"/>
        <rFont val="Segoe UI"/>
        <family val="2"/>
      </rPr>
      <t>A 31 de diciembre de 2018, se asignó el 100% del cupo de inversión para el otorgamiento de beneficios tributarios a empresas que presentaran proyectos de Ciencia, Tecnología e Innovación. Este porcentaje es equivalente a $640 mil millones cumpliendo con la proyecciones definidos para la vigencia. Para llegar al 100% del cupo, debe culminar el proceso de cierre de la vigencia 2018 que incluye el proceso de evaluación de los proyectos plurianuales, con los que se espera asignar la totalidad del cupo.</t>
    </r>
    <r>
      <rPr>
        <b/>
        <sz val="12"/>
        <color theme="1"/>
        <rFont val="Segoe UI"/>
        <family val="2"/>
      </rPr>
      <t xml:space="preserve">
Conclusiones/Recomendaciones</t>
    </r>
    <r>
      <rPr>
        <sz val="12"/>
        <color theme="1"/>
        <rFont val="Segoe UI"/>
        <family val="2"/>
      </rPr>
      <t xml:space="preserve">
 Este indicador concentrar el logro de sus resultados tanto en %cupo asignado como en empresas, en el cuarto trimestre de la vigencia, dadas las programaciones de las sesiones del CNBT. Teniendo en cuenta los buenos resultados de los años anteriores, existe una alta probabilidad de cumplimiento de la meta.  Basados en que este indicador ha aportado considerablemente la movilización de recursos de inversión en ACTI desde el sector privado del país, se recomienda darle continuidad o implementar alguna metrica asociada, de cara a los compromisos del PND 2018-2022, en el cual se pretente alcanza 1,5% del PIB de inversión en ACTI para 2022.</t>
    </r>
  </si>
  <si>
    <r>
      <rPr>
        <b/>
        <sz val="12"/>
        <color theme="1"/>
        <rFont val="Segoe UI"/>
        <family val="2"/>
      </rPr>
      <t>Análisis cualitativo</t>
    </r>
    <r>
      <rPr>
        <sz val="12"/>
        <color theme="1"/>
        <rFont val="Segoe UI"/>
        <family val="2"/>
      </rPr>
      <t xml:space="preserve">
En 2018, se registraron 3 política de CTeI aprobadas: Política de ética, Bioética y Libro Verde. Esta última adoptada como la Política Nacional de Ciencia e Innovación para el desarrollo sostenible.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En lo que respecta, a la formulación de la Política Nacional de Ciencia Abierta,  el pasado 17 de diciembre de 2018 se aprobó ante Comité de Subdirección, luego Ede ser sometido a cosnulta a la comunidad a inicios de diciembre. La política busca generar condiciones habilitantes para desarrollar los componentes de ciencia abierta en el marco de una cultura científica que valore el conocimiento como un bien público.Los lineamientos y propuestas iniciales del documento para fomentar la ciencia abierta en Colombia son las siguientes: a) : Propiciar la articulación del régimen de propiedad intelectual del país con los principios y componentes de la ciencia abierta, b) Promover la interacción entre actores del SNCTeI para desarrollar los componentes de la ciencia abierta y c) Explorar mecanismos de financiación e incentivos para el fomento de la ciencia abierta.
</t>
    </r>
    <r>
      <rPr>
        <b/>
        <sz val="12"/>
        <color theme="1"/>
        <rFont val="Segoe UI"/>
        <family val="2"/>
      </rPr>
      <t xml:space="preserve">Conclusión/Recomendaciones
</t>
    </r>
    <r>
      <rPr>
        <sz val="12"/>
        <color theme="1"/>
        <rFont val="Segoe UI"/>
        <family val="2"/>
      </rPr>
      <t>Se cumplió el 100% de las meta establecida para la vigencia y para el cuatrienio. Desde la OAP, se recomienda la revisión y el replanteamiento del indicador de "Políticas de CTeI aprobadas", dado que en el marco de su formulación puede presentar un tendencia al incumplimiento sobre todas aquellas que no dependenn directamente de la gestión de Colciencias y cuya responsabilidad de formulación y aprobación es compartida con otras Enitades. Se recomienda formular indicadores que permitan evidenciar el avance en la formulación de un documento de política frente a unos hitos establecidas en la vigencia.</t>
    </r>
  </si>
  <si>
    <r>
      <rPr>
        <b/>
        <sz val="12"/>
        <color theme="1"/>
        <rFont val="Segoe UI"/>
        <family val="2"/>
      </rPr>
      <t>Análisis cualitativo</t>
    </r>
    <r>
      <rPr>
        <sz val="12"/>
        <color theme="1"/>
        <rFont val="Segoe UI"/>
        <family val="2"/>
      </rPr>
      <t xml:space="preserve">
En el período enero  a diciembre de 2018, se logró acompañar 17 de los 33 planes y acuerdos departamentales de CTeI  (PAED)  previstos para la vigencia. El acompañamiento se llevó a cabo en el marco de la realización del os CODECTI en las regiones correspondientes:  Arauca, Atlantico, Bolivar, Boyaca, Caldas, Caqueta, Cauca, Cesar, Choco, Cundinamarca, Huila, Magdalena, Meta, Risaralda y Santander. Esta situación permitió alcanzar apenas el 52% de la meta de la vigencia.
</t>
    </r>
    <r>
      <rPr>
        <b/>
        <sz val="12"/>
        <color theme="1"/>
        <rFont val="Segoe UI"/>
        <family val="2"/>
      </rPr>
      <t>Conclusiones/Recomendaciones</t>
    </r>
    <r>
      <rPr>
        <sz val="12"/>
        <color theme="1"/>
        <rFont val="Segoe UI"/>
        <family val="2"/>
      </rPr>
      <t xml:space="preserve">
Teniendo en cuenta la normatividad que rige al FCTeI del SGR, el rol de Colciencias se determina en términos de acompañamiento. La actualización dependende directamente de los CODECTI. Se ha acompañado durante 2018, el 52% de los PAEDS de los departamentos del país. Se hace necesario que desde Gestión Territorial se tomen las medidas que permitan dar cierre a la vigencia con la totalidad de los PAEDs acompañados.</t>
    </r>
  </si>
  <si>
    <r>
      <rPr>
        <b/>
        <sz val="12"/>
        <color theme="1"/>
        <rFont val="Segoe UI"/>
        <family val="2"/>
      </rPr>
      <t xml:space="preserve">Análisis cualitativo
</t>
    </r>
    <r>
      <rPr>
        <sz val="12"/>
        <color theme="1"/>
        <rFont val="Segoe UI"/>
        <family val="2"/>
      </rPr>
      <t>Entre el 1 de enero de 2018 y el 31 de diciembre de 2018, se logran suscribir las 9 alianzas estratégicas planeadas, bajo los siguientes programas e iniciativas:
Programa: Participación en escenarios internacionales estratégicos, con miras a promover el avance de la CTeI 2018
Desarrollo de los compromisos de la Cumbre Iberoamericana: CYTED
Intercambio de experiencias para el fortalecimiento de la innovación y las infraestructuras de investigación en el marco de CELAC - UE: INNOVAL - UE
Desarrollo de compromisos en el marco de la OEA como presidente de la COMCYT: OEA 
Fortalecimiento de las alianzas con CYTED, OCDE y ICGEB: OCDE, ICGEB y SUDÁFRICA
Programa: Gestión de recursos técnicos y financieros de cooperación internacional para CTeI 2018
Iniciativa “Gestión de alianzas internacionales con recursos de contrapartida para apalancar recursos”:
PNUD, CALDO e IRÁN  
Teniendo en cuenta lo anterior, y de acuerdo con el comportamiento del indicador denominado Alianzas estratégicas internacionales en términos de recursos y capital político -E18, se cumple con la tendencia esperada, por lo cual no se detecta riesgo de incumplimiento.</t>
    </r>
    <r>
      <rPr>
        <b/>
        <sz val="12"/>
        <color theme="1"/>
        <rFont val="Segoe UI"/>
        <family val="2"/>
      </rPr>
      <t xml:space="preserve">
Conclusiones/Recomendaciones</t>
    </r>
    <r>
      <rPr>
        <sz val="12"/>
        <color theme="1"/>
        <rFont val="Segoe UI"/>
        <family val="2"/>
      </rPr>
      <t xml:space="preserve">
Se recomienda al equipo de internacionalización, adicional al reporte de las alianzas suscritas,  incluir información relacionada con los recursos apalancados, beneficios de las alianzas, oportunidad de nuevos aliados, entre otros aspectos que permitan ampliar el alacance de lo que desde Colciencias se está gestionando con miras a la internacionalización de la CTeI.</t>
    </r>
  </si>
  <si>
    <r>
      <rPr>
        <b/>
        <sz val="12"/>
        <color theme="1"/>
        <rFont val="Segoe UI"/>
        <family val="2"/>
      </rPr>
      <t>Análisos cualitativo:</t>
    </r>
    <r>
      <rPr>
        <sz val="12"/>
        <color theme="1"/>
        <rFont val="Segoe UI"/>
        <family val="2"/>
      </rPr>
      <t xml:space="preserve">
Para el cierre de la vigencia 2018 el seguimiento al índice ATM (ágil, transparente y moderno) evidencia un avance del 98% frente a una meta esperada del 100%, resultado que se considera satisfactorio, frente al desempeño esperado.
El avance de cada uno de los componentes del índice muestra el siguiente comportamiento:
El Componente de Transparencia, que mide el cumplimiento de los requisitos determinados en el “Documento Metodológico Índice de Transparencia Nacional para Entidades Públicas”, con un total de 388 requisitos a cumplir, muestra un avance del 100% frente a una meta planificada para la vigencia de 100%, lo cual representa un cumplimiento de 388 requisitos de los 388 aplicables. Para el cierre de la vigencia se logra el cumplimiento del requisito pendiente correspondiente a la actualización del código de ética y buen gobierno el cual se ajusta al código de integridad, de acuerdo a lo establecido en el Modelo Integrado de Planeación y Gestión (Dec 1499 de 2017), dimensión de Talento Humano.
El Componente de Modernidad, el cual se evalúa el cumplimiento de los requisitos de la estrategia de Gobierno en Línea, logra un cumplimiento del 97% frente a una meta esperada del 100%, resultado que permite alcanzar el cumplimiento de 85 de los 88 requisitos aplicables. Se precisa que, si bien el dato calculado por el aplicativo GINA muestra un 99% de cumplimiento, el avance real es de 97%, resultado que corresponde al total de requisitos implementados (85 requisitos) sobre el total de requisitos aplicables (88 requisitos).
En el Componente de reducción de tiempos, requisitos o documentos se presenta un cumplimiento del 93% frente al 100% planificado para la vigencia resultado que permite obtener un resultado aceptable, especialmente por el impulso y apoyo dado a la optimización de los procesos a cargo por parte de la Secretaria General a fin de lograr la concertación y aprobación de los productos pendientes.
En el Componente de Racionalización de Trámites con corte a 29 de diciembre de 2018 se evidencia un avance del 98% en el plan de racionalización de trámites frente a un 100% de avance esperado, con lo cual se obtiene un resultado satisfactorio frente a la meta planificada.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t>
    </r>
    <r>
      <rPr>
        <b/>
        <sz val="12"/>
        <color theme="1"/>
        <rFont val="Segoe UI"/>
        <family val="2"/>
      </rPr>
      <t>Conclusiones / Recomendaciones:</t>
    </r>
    <r>
      <rPr>
        <sz val="12"/>
        <color theme="1"/>
        <rFont val="Segoe UI"/>
        <family val="2"/>
      </rPr>
      <t xml:space="preserve">
Aunque se presenta un cumplimiento del 84% del índice ATM para el  primer trimestre de 2018, se recomienda realizar monitoreo a las acciones de mejora propuestas para subsanar los o resultados en el componente "Agil", dado que durante el transcurso de la vigencia a presentado incumplimientos parciales reiterados. El proceso relacionado con el rezago refiere principalmente a gestión contractual. Se realiza un llamado a la SEGEL (responsable de proceso) de manera que permita agilizar la optimizacion de proceso y procedimientos en materia contractual en la Entidad.</t>
    </r>
  </si>
  <si>
    <r>
      <rPr>
        <b/>
        <sz val="12"/>
        <color theme="1"/>
        <rFont val="Segoe UI"/>
        <family val="2"/>
      </rPr>
      <t>Análisis Cualitativo</t>
    </r>
    <r>
      <rPr>
        <sz val="12"/>
        <color theme="1"/>
        <rFont val="Segoe UI"/>
        <family val="2"/>
      </rPr>
      <t xml:space="preserve">
En el periodo comprendido entre el 1 de enero y 30 de diciembre de 2018, se indexaron al Sistema de Información sobre Biodiversidad (SiB Colombia), un total de 625.956 nuevos registros de especies en el GBIF de los cuales 165.587 corresponden a resultados de las expediciones Bio y 100.396 hacen parte de los resultados de la iniciativa de fortalecimiento de Colecciones. Los registros producto de las expediciones, se asocian a la contribución en la incorporación de los datos por parte de entidades tales como Instituto de Investigación de Recursos Biológicos Alexander von Humboldt, la Fundación Chimbilako, la Corporación Autónoma Regional de las cuencas de los ríos Negro y Nare - CORNARE, la Fundación Ecotrópico Colombia, la Corporación para el desarrollo sostenible del área de manejo especial La Macarena ¿ CORMACARENA, Corporación Autónoma Regional de los Valles del Sinú y del San Jorge-CVS, el Instituto Amazónico de Investigaciones Científicas Sinchi, Universidad de Ciencias Aplicadas y Ambientales (U.D.C.A), la Asociación para el estudio y conservación de las aves acuáticas en Colombia, Instituto de Investigaciones Ambientales del Pacifico John Von Neumann (IIAP), Asociación Colombiana de Ictiólgos, la Fundación Pantera Colombia, Instituto de Investigaciones Marinas y Costeras- INVEMAR y la Universidad Nacional de Colombia.
Con relación al fortalecimiento de colecciones, los registros en el primer semestre fueron menores a los esperados, dada la dinámica de publicación de datos que está a cargo de diversas entidades a nivel nacional, las cuales manejan diferentes frecuencias de tiempo para la inclusión de datos en la plataforma.   Considerando que el registro de información asociada a ejemplares no es constante o permanente y que también depende de la asignación de recursos específicos al fortalecimiento de colecciones a nivel nacional no logró cumplir proyección inicial.
</t>
    </r>
    <r>
      <rPr>
        <b/>
        <sz val="12"/>
        <color theme="1"/>
        <rFont val="Segoe UI"/>
        <family val="2"/>
      </rPr>
      <t xml:space="preserve"> Conclusiones / Recomendaciones:
</t>
    </r>
    <r>
      <rPr>
        <sz val="12"/>
        <color theme="1"/>
        <rFont val="Segoe UI"/>
        <family val="2"/>
      </rPr>
      <t>Según el comportamiento del indicador se cumplió en un  100% tanto la meta de la vigencia como del cuatrienio. Se recomienda para el cuatreino Este indicador visibiliza el potencial del país en el registro de especies y la biodiversidas en el mundo. Se recomienda dar continuidad de las iniciativas del programa estratégico Colombia Bio en la planeación estratégica del cuatrienio entrante.</t>
    </r>
  </si>
  <si>
    <t>Observaciones de Seguimiento
cuarto trimestre de 2018</t>
  </si>
  <si>
    <t>Versión presentada ante el Comité de Dirección del 05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</si>
</sst>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0%"/>
  </numFmts>
  <fonts count="13" x14ac:knownFonts="1">
    <font>
      <sz val="11"/>
      <color theme="1"/>
      <name val="Calibri"/>
      <family val="2"/>
      <scheme val="minor"/>
    </font>
    <font>
      <sz val="11"/>
      <color theme="1"/>
      <name val="Calibri"/>
      <family val="2"/>
      <scheme val="minor"/>
    </font>
    <font>
      <b/>
      <sz val="12"/>
      <name val="Segoe UI"/>
      <family val="2"/>
    </font>
    <font>
      <b/>
      <sz val="11"/>
      <name val="Segoe UI"/>
      <family val="2"/>
    </font>
    <font>
      <sz val="12"/>
      <color theme="1"/>
      <name val="Segoe UI"/>
      <family val="2"/>
    </font>
    <font>
      <sz val="12"/>
      <name val="Segoe UI"/>
      <family val="2"/>
    </font>
    <font>
      <b/>
      <sz val="12"/>
      <color theme="1"/>
      <name val="Segoe UI"/>
      <family val="2"/>
    </font>
    <font>
      <b/>
      <sz val="14"/>
      <color theme="1"/>
      <name val="Segoe UI"/>
      <family val="2"/>
    </font>
    <font>
      <b/>
      <sz val="16"/>
      <color theme="0"/>
      <name val="Segoe UI"/>
      <family val="2"/>
    </font>
    <font>
      <b/>
      <sz val="12"/>
      <color theme="0"/>
      <name val="Segoe UI"/>
      <family val="2"/>
    </font>
    <font>
      <sz val="10"/>
      <color theme="1"/>
      <name val="Segoe UI"/>
      <family val="2"/>
    </font>
    <font>
      <b/>
      <sz val="10"/>
      <color theme="1"/>
      <name val="Segoe UI"/>
      <family val="2"/>
    </font>
    <font>
      <sz val="12"/>
      <color theme="0" tint="-0.14999847407452621"/>
      <name val="Arial Narrow"/>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2" fillId="2" borderId="0" xfId="0" applyFont="1" applyFill="1" applyBorder="1" applyAlignment="1">
      <alignment horizontal="center" vertical="center"/>
    </xf>
    <xf numFmtId="165" fontId="4" fillId="0" borderId="5" xfId="1" applyNumberFormat="1" applyFont="1" applyFill="1" applyBorder="1" applyAlignment="1">
      <alignment horizontal="center" vertical="center" wrapText="1"/>
    </xf>
    <xf numFmtId="9" fontId="4" fillId="0" borderId="5" xfId="2" applyFont="1" applyFill="1" applyBorder="1" applyAlignment="1">
      <alignment horizontal="center" vertical="center" wrapText="1"/>
    </xf>
    <xf numFmtId="165" fontId="4" fillId="2" borderId="5" xfId="1" applyNumberFormat="1" applyFont="1" applyFill="1" applyBorder="1" applyAlignment="1">
      <alignment horizontal="center" vertical="center" wrapText="1"/>
    </xf>
    <xf numFmtId="165" fontId="4" fillId="2" borderId="0" xfId="1" applyNumberFormat="1" applyFont="1" applyFill="1" applyBorder="1" applyAlignment="1">
      <alignment horizontal="center" vertical="center" wrapText="1"/>
    </xf>
    <xf numFmtId="0" fontId="4" fillId="2" borderId="0" xfId="0" applyFont="1" applyFill="1"/>
    <xf numFmtId="9" fontId="4" fillId="2" borderId="5" xfId="2" applyFont="1" applyFill="1" applyBorder="1" applyAlignment="1">
      <alignment horizontal="center" vertical="center" wrapText="1"/>
    </xf>
    <xf numFmtId="165" fontId="5" fillId="0" borderId="5" xfId="1" applyNumberFormat="1" applyFont="1" applyFill="1" applyBorder="1" applyAlignment="1">
      <alignment horizontal="center" vertical="center" wrapText="1"/>
    </xf>
    <xf numFmtId="0" fontId="5" fillId="2" borderId="0" xfId="0" applyFont="1" applyFill="1" applyAlignment="1"/>
    <xf numFmtId="0" fontId="2" fillId="0" borderId="0" xfId="0" applyFont="1" applyFill="1" applyBorder="1" applyAlignment="1">
      <alignment horizontal="center" vertical="center"/>
    </xf>
    <xf numFmtId="0" fontId="4" fillId="2" borderId="5" xfId="0" applyFont="1" applyFill="1" applyBorder="1" applyAlignment="1">
      <alignment horizontal="justify" vertical="center" wrapText="1"/>
    </xf>
    <xf numFmtId="0" fontId="4" fillId="2" borderId="5" xfId="0"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166" fontId="4" fillId="0" borderId="5"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2" borderId="7" xfId="0" applyFont="1" applyFill="1" applyBorder="1" applyAlignment="1">
      <alignment horizontal="justify" vertical="center" wrapText="1"/>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165" fontId="4" fillId="0" borderId="0" xfId="1"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xf>
    <xf numFmtId="0" fontId="4" fillId="0" borderId="5" xfId="1" applyNumberFormat="1" applyFont="1" applyFill="1" applyBorder="1" applyAlignment="1">
      <alignment horizontal="justify" vertical="center" wrapText="1"/>
    </xf>
    <xf numFmtId="165" fontId="5" fillId="2" borderId="5" xfId="1" applyNumberFormat="1" applyFont="1" applyFill="1" applyBorder="1" applyAlignment="1">
      <alignment horizontal="center" vertical="center" wrapText="1"/>
    </xf>
    <xf numFmtId="0" fontId="4" fillId="0" borderId="0" xfId="0" applyFont="1" applyFill="1" applyAlignment="1">
      <alignment horizontal="center" vertical="center"/>
    </xf>
    <xf numFmtId="165" fontId="4" fillId="0" borderId="5" xfId="2" applyNumberFormat="1" applyFont="1" applyFill="1" applyBorder="1" applyAlignment="1">
      <alignment horizontal="center" vertical="center" wrapText="1"/>
    </xf>
    <xf numFmtId="9" fontId="4" fillId="0" borderId="5" xfId="2"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165" fontId="4" fillId="2" borderId="0" xfId="0" applyNumberFormat="1" applyFont="1" applyFill="1" applyAlignment="1">
      <alignment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9" fontId="4" fillId="0" borderId="4" xfId="2" applyFont="1" applyFill="1" applyBorder="1" applyAlignment="1">
      <alignment horizontal="center" vertical="center" wrapText="1"/>
    </xf>
    <xf numFmtId="9" fontId="4" fillId="2" borderId="4" xfId="2" applyFont="1" applyFill="1" applyBorder="1" applyAlignment="1">
      <alignment horizontal="center" vertical="center" wrapText="1"/>
    </xf>
    <xf numFmtId="165" fontId="4" fillId="0" borderId="4" xfId="1"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9" fontId="4" fillId="0" borderId="4" xfId="2" applyFont="1" applyFill="1" applyBorder="1" applyAlignment="1">
      <alignment vertical="center" wrapText="1"/>
    </xf>
    <xf numFmtId="0" fontId="8" fillId="3" borderId="3" xfId="0" applyFont="1" applyFill="1" applyBorder="1" applyAlignment="1">
      <alignment vertical="center"/>
    </xf>
    <xf numFmtId="10" fontId="4" fillId="2" borderId="4" xfId="2" applyNumberFormat="1" applyFont="1" applyFill="1" applyBorder="1" applyAlignment="1">
      <alignment vertical="center" wrapText="1"/>
    </xf>
    <xf numFmtId="166" fontId="5" fillId="2" borderId="4" xfId="2" applyNumberFormat="1" applyFont="1" applyFill="1" applyBorder="1" applyAlignment="1">
      <alignment vertical="center" wrapText="1"/>
    </xf>
    <xf numFmtId="9" fontId="4" fillId="2" borderId="4" xfId="2" applyFont="1" applyFill="1" applyBorder="1" applyAlignment="1">
      <alignment vertical="center" wrapText="1"/>
    </xf>
    <xf numFmtId="0" fontId="4" fillId="2" borderId="4" xfId="0" applyFont="1" applyFill="1" applyBorder="1" applyAlignment="1">
      <alignment vertical="center" wrapText="1"/>
    </xf>
    <xf numFmtId="0" fontId="4" fillId="2" borderId="24" xfId="0" applyFont="1" applyFill="1" applyBorder="1" applyAlignment="1">
      <alignment horizontal="justify" vertical="center" wrapText="1"/>
    </xf>
    <xf numFmtId="165" fontId="4" fillId="0" borderId="24" xfId="1" applyNumberFormat="1" applyFont="1" applyFill="1" applyBorder="1" applyAlignment="1">
      <alignment vertical="center" wrapText="1"/>
    </xf>
    <xf numFmtId="165" fontId="4" fillId="0" borderId="24" xfId="1" applyNumberFormat="1" applyFont="1" applyFill="1" applyBorder="1" applyAlignment="1">
      <alignment horizontal="center" vertical="center" wrapText="1"/>
    </xf>
    <xf numFmtId="166" fontId="4" fillId="0" borderId="4" xfId="2" applyNumberFormat="1" applyFont="1" applyFill="1" applyBorder="1" applyAlignment="1">
      <alignment vertical="center" wrapText="1"/>
    </xf>
    <xf numFmtId="0" fontId="4" fillId="0" borderId="4" xfId="1" applyNumberFormat="1" applyFont="1" applyFill="1" applyBorder="1" applyAlignment="1">
      <alignment horizontal="justify" vertical="center" wrapText="1"/>
    </xf>
    <xf numFmtId="0" fontId="10" fillId="2" borderId="18" xfId="0" applyNumberFormat="1" applyFont="1" applyFill="1" applyBorder="1" applyAlignment="1">
      <alignment horizontal="justify" vertical="center" wrapText="1"/>
    </xf>
    <xf numFmtId="0" fontId="10" fillId="0" borderId="5" xfId="1" applyNumberFormat="1" applyFont="1" applyFill="1" applyBorder="1" applyAlignment="1">
      <alignment horizontal="justify" vertical="center" wrapText="1"/>
    </xf>
    <xf numFmtId="0" fontId="10" fillId="0" borderId="4" xfId="1" applyNumberFormat="1"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2" borderId="5" xfId="0" applyFont="1" applyFill="1" applyBorder="1" applyAlignment="1">
      <alignment horizontal="center"/>
    </xf>
    <xf numFmtId="0" fontId="3" fillId="4"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3" fillId="4" borderId="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4"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2" fillId="2" borderId="11" xfId="0" applyFont="1" applyFill="1" applyBorder="1" applyAlignment="1">
      <alignment horizontal="center"/>
    </xf>
    <xf numFmtId="0" fontId="12" fillId="2" borderId="0" xfId="0" applyFont="1" applyFill="1" applyBorder="1" applyAlignment="1">
      <alignment horizontal="center"/>
    </xf>
    <xf numFmtId="0" fontId="12" fillId="2" borderId="12"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ESTRATÉGICO INSTITUCIONAL</a:t>
          </a:r>
        </a:p>
        <a:p>
          <a:pPr algn="ctr" rtl="0">
            <a:defRPr sz="1000"/>
          </a:pPr>
          <a:r>
            <a:rPr lang="en-US" sz="2400" b="1" i="0" u="none" strike="noStrike" baseline="0">
              <a:solidFill>
                <a:sysClr val="windowText" lastClr="000000"/>
              </a:solidFill>
              <a:effectLst/>
              <a:latin typeface="Arial Narrow"/>
              <a:ea typeface="+mn-ea"/>
              <a:cs typeface="+mn-cs"/>
            </a:rPr>
            <a:t>Corte a 31 de diciembre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47628"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view="pageBreakPreview" zoomScale="60" zoomScaleNormal="60" workbookViewId="0">
      <selection activeCell="O34" sqref="O34"/>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89" t="s">
        <v>83</v>
      </c>
      <c r="B36" s="90"/>
      <c r="C36" s="90"/>
      <c r="D36" s="90"/>
      <c r="E36" s="90"/>
      <c r="F36" s="90"/>
      <c r="G36" s="90"/>
      <c r="H36" s="90"/>
      <c r="I36" s="91"/>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7"/>
  <sheetViews>
    <sheetView view="pageBreakPreview" zoomScale="64" zoomScaleNormal="60" zoomScaleSheetLayoutView="64" zoomScalePageLayoutView="30" workbookViewId="0">
      <pane xSplit="1" ySplit="8" topLeftCell="B9" activePane="bottomRight" state="frozen"/>
      <selection pane="topRight" activeCell="B1" sqref="B1"/>
      <selection pane="bottomLeft" activeCell="A9" sqref="A9"/>
      <selection pane="bottomRight" activeCell="J9" sqref="J9"/>
    </sheetView>
  </sheetViews>
  <sheetFormatPr baseColWidth="10" defaultColWidth="11.42578125" defaultRowHeight="17.25" x14ac:dyDescent="0.3"/>
  <cols>
    <col min="1" max="1" width="31.5703125" style="15" customWidth="1"/>
    <col min="2" max="2" width="39.5703125" style="15" customWidth="1"/>
    <col min="3" max="3" width="16.7109375" style="31" customWidth="1"/>
    <col min="4" max="4" width="13.5703125" style="31" customWidth="1"/>
    <col min="5" max="5" width="11.7109375" style="35" customWidth="1"/>
    <col min="6" max="6" width="11.7109375" style="31" customWidth="1"/>
    <col min="7" max="8" width="14" style="31" customWidth="1"/>
    <col min="9" max="9" width="16.140625" style="35" customWidth="1"/>
    <col min="10" max="10" width="14.5703125" style="31" customWidth="1"/>
    <col min="11" max="11" width="14.42578125" style="35" customWidth="1"/>
    <col min="12" max="12" width="11.7109375" style="31" customWidth="1"/>
    <col min="13" max="13" width="15.5703125" style="31" customWidth="1"/>
    <col min="14" max="14" width="14.42578125" style="31" customWidth="1"/>
    <col min="15" max="15" width="14.5703125" style="31" customWidth="1"/>
    <col min="16" max="16" width="15.7109375" style="31" customWidth="1"/>
    <col min="17" max="17" width="14.42578125" style="35" customWidth="1"/>
    <col min="18" max="19" width="17.140625" style="31" customWidth="1"/>
    <col min="20" max="20" width="117" style="15" customWidth="1"/>
    <col min="21" max="21" width="23.28515625" style="32" customWidth="1"/>
    <col min="22" max="16384" width="11.42578125" style="15"/>
  </cols>
  <sheetData>
    <row r="1" spans="1:23" ht="25.5" customHeight="1" x14ac:dyDescent="0.3">
      <c r="A1" s="67"/>
      <c r="B1" s="67"/>
      <c r="C1" s="69" t="s">
        <v>4</v>
      </c>
      <c r="D1" s="70"/>
      <c r="E1" s="70"/>
      <c r="F1" s="70"/>
      <c r="G1" s="70"/>
      <c r="H1" s="70"/>
      <c r="I1" s="70"/>
      <c r="J1" s="70"/>
      <c r="K1" s="70"/>
      <c r="L1" s="70"/>
      <c r="M1" s="70"/>
      <c r="N1" s="70"/>
      <c r="O1" s="70"/>
      <c r="P1" s="70"/>
      <c r="Q1" s="70"/>
      <c r="R1" s="70"/>
      <c r="S1" s="71"/>
      <c r="T1" s="81" t="s">
        <v>53</v>
      </c>
      <c r="U1" s="82"/>
    </row>
    <row r="2" spans="1:23" ht="25.5" customHeight="1" x14ac:dyDescent="0.3">
      <c r="A2" s="67"/>
      <c r="B2" s="67"/>
      <c r="C2" s="72"/>
      <c r="D2" s="73"/>
      <c r="E2" s="73"/>
      <c r="F2" s="73"/>
      <c r="G2" s="73"/>
      <c r="H2" s="73"/>
      <c r="I2" s="73"/>
      <c r="J2" s="73"/>
      <c r="K2" s="73"/>
      <c r="L2" s="73"/>
      <c r="M2" s="73"/>
      <c r="N2" s="73"/>
      <c r="O2" s="73"/>
      <c r="P2" s="73"/>
      <c r="Q2" s="73"/>
      <c r="R2" s="73"/>
      <c r="S2" s="74"/>
      <c r="T2" s="81" t="s">
        <v>54</v>
      </c>
      <c r="U2" s="82"/>
    </row>
    <row r="3" spans="1:23" s="18" customFormat="1" ht="25.5" customHeight="1" x14ac:dyDescent="0.3">
      <c r="A3" s="67"/>
      <c r="B3" s="67"/>
      <c r="C3" s="75"/>
      <c r="D3" s="76"/>
      <c r="E3" s="76"/>
      <c r="F3" s="76"/>
      <c r="G3" s="76"/>
      <c r="H3" s="76"/>
      <c r="I3" s="76"/>
      <c r="J3" s="76"/>
      <c r="K3" s="76"/>
      <c r="L3" s="76"/>
      <c r="M3" s="76"/>
      <c r="N3" s="76"/>
      <c r="O3" s="76"/>
      <c r="P3" s="76"/>
      <c r="Q3" s="76"/>
      <c r="R3" s="76"/>
      <c r="S3" s="77"/>
      <c r="T3" s="81" t="s">
        <v>55</v>
      </c>
      <c r="U3" s="82"/>
    </row>
    <row r="4" spans="1:23" s="18" customFormat="1" ht="13.15" customHeight="1" x14ac:dyDescent="0.3">
      <c r="A4" s="10"/>
      <c r="B4" s="10"/>
      <c r="C4" s="10"/>
      <c r="D4" s="10"/>
      <c r="E4" s="19"/>
      <c r="F4" s="10"/>
      <c r="G4" s="10"/>
      <c r="H4" s="10"/>
      <c r="I4" s="19"/>
      <c r="J4" s="10"/>
      <c r="K4" s="19"/>
      <c r="L4" s="10"/>
      <c r="M4" s="10"/>
      <c r="N4" s="10"/>
      <c r="O4" s="10"/>
      <c r="P4" s="10"/>
      <c r="Q4" s="19"/>
      <c r="R4" s="10"/>
      <c r="S4" s="10"/>
      <c r="T4" s="10"/>
      <c r="U4" s="10"/>
    </row>
    <row r="5" spans="1:23" s="18" customFormat="1" ht="35.25" customHeight="1" x14ac:dyDescent="0.3">
      <c r="A5" s="78" t="s">
        <v>47</v>
      </c>
      <c r="B5" s="79"/>
      <c r="C5" s="79"/>
      <c r="D5" s="79"/>
      <c r="E5" s="79"/>
      <c r="F5" s="79"/>
      <c r="G5" s="79"/>
      <c r="H5" s="79"/>
      <c r="I5" s="79"/>
      <c r="J5" s="79"/>
      <c r="K5" s="79"/>
      <c r="L5" s="79"/>
      <c r="M5" s="79"/>
      <c r="N5" s="79"/>
      <c r="O5" s="79"/>
      <c r="P5" s="79"/>
      <c r="Q5" s="79"/>
      <c r="R5" s="79"/>
      <c r="S5" s="79"/>
      <c r="T5" s="79"/>
      <c r="U5" s="47"/>
    </row>
    <row r="6" spans="1:23" x14ac:dyDescent="0.3">
      <c r="A6" s="10"/>
      <c r="B6" s="10"/>
      <c r="C6" s="10"/>
      <c r="D6" s="10"/>
      <c r="E6" s="19"/>
      <c r="F6" s="10"/>
      <c r="G6" s="10"/>
      <c r="H6" s="10"/>
      <c r="I6" s="19"/>
      <c r="J6" s="10"/>
      <c r="K6" s="19"/>
      <c r="L6" s="10"/>
      <c r="M6" s="10"/>
      <c r="N6" s="10"/>
      <c r="O6" s="10"/>
      <c r="P6" s="10"/>
      <c r="Q6" s="19"/>
      <c r="R6" s="10"/>
      <c r="S6" s="10"/>
      <c r="T6" s="10"/>
      <c r="U6" s="10"/>
    </row>
    <row r="7" spans="1:23" ht="35.25" customHeight="1" x14ac:dyDescent="0.3">
      <c r="A7" s="63" t="s">
        <v>5</v>
      </c>
      <c r="B7" s="63" t="s">
        <v>6</v>
      </c>
      <c r="C7" s="63" t="s">
        <v>7</v>
      </c>
      <c r="D7" s="63" t="s">
        <v>42</v>
      </c>
      <c r="E7" s="63" t="s">
        <v>10</v>
      </c>
      <c r="F7" s="66" t="s">
        <v>35</v>
      </c>
      <c r="G7" s="63" t="s">
        <v>11</v>
      </c>
      <c r="H7" s="66" t="s">
        <v>51</v>
      </c>
      <c r="I7" s="63" t="s">
        <v>12</v>
      </c>
      <c r="J7" s="66" t="s">
        <v>59</v>
      </c>
      <c r="K7" s="63" t="s">
        <v>13</v>
      </c>
      <c r="L7" s="86" t="s">
        <v>57</v>
      </c>
      <c r="M7" s="87"/>
      <c r="N7" s="87"/>
      <c r="O7" s="88"/>
      <c r="P7" s="65" t="s">
        <v>58</v>
      </c>
      <c r="Q7" s="63" t="s">
        <v>8</v>
      </c>
      <c r="R7" s="65" t="s">
        <v>48</v>
      </c>
      <c r="S7" s="65" t="s">
        <v>52</v>
      </c>
      <c r="T7" s="66" t="s">
        <v>82</v>
      </c>
      <c r="U7" s="63" t="s">
        <v>9</v>
      </c>
    </row>
    <row r="8" spans="1:23" ht="30.75" customHeight="1" x14ac:dyDescent="0.3">
      <c r="A8" s="63"/>
      <c r="B8" s="64"/>
      <c r="C8" s="64"/>
      <c r="D8" s="64"/>
      <c r="E8" s="64"/>
      <c r="F8" s="68"/>
      <c r="G8" s="64"/>
      <c r="H8" s="68"/>
      <c r="I8" s="64"/>
      <c r="J8" s="68"/>
      <c r="K8" s="64"/>
      <c r="L8" s="38" t="s">
        <v>0</v>
      </c>
      <c r="M8" s="38" t="s">
        <v>1</v>
      </c>
      <c r="N8" s="38" t="s">
        <v>2</v>
      </c>
      <c r="O8" s="38" t="s">
        <v>3</v>
      </c>
      <c r="P8" s="66"/>
      <c r="Q8" s="64"/>
      <c r="R8" s="66"/>
      <c r="S8" s="66"/>
      <c r="T8" s="80"/>
      <c r="U8" s="63"/>
    </row>
    <row r="9" spans="1:23" ht="409.5" customHeight="1" x14ac:dyDescent="0.3">
      <c r="A9" s="60" t="s">
        <v>14</v>
      </c>
      <c r="B9" s="52" t="s">
        <v>15</v>
      </c>
      <c r="C9" s="53" t="s">
        <v>16</v>
      </c>
      <c r="D9" s="53">
        <v>9163</v>
      </c>
      <c r="E9" s="53">
        <v>2500</v>
      </c>
      <c r="F9" s="53">
        <v>2500</v>
      </c>
      <c r="G9" s="53">
        <v>2500</v>
      </c>
      <c r="H9" s="53">
        <v>1819</v>
      </c>
      <c r="I9" s="53">
        <v>2160</v>
      </c>
      <c r="J9" s="53">
        <v>2078</v>
      </c>
      <c r="K9" s="53">
        <v>1500</v>
      </c>
      <c r="L9" s="54" t="s">
        <v>17</v>
      </c>
      <c r="M9" s="53">
        <v>1365</v>
      </c>
      <c r="N9" s="53">
        <f>+M9+20+13</f>
        <v>1398</v>
      </c>
      <c r="O9" s="53">
        <f>+N9+119+96+64+39+27+179</f>
        <v>1922</v>
      </c>
      <c r="P9" s="12">
        <f t="shared" ref="P9:P13" si="0">+IF((O9/K9&gt;100%),100%,(O9/K9))</f>
        <v>1</v>
      </c>
      <c r="Q9" s="53">
        <f>+E9+G9+I9+K9</f>
        <v>8660</v>
      </c>
      <c r="R9" s="53">
        <f>+F9+H9+J9+O9</f>
        <v>8319</v>
      </c>
      <c r="S9" s="24">
        <f>+IF((R9/Q9&gt;100%),100%,(R9/Q9))</f>
        <v>0.96062355658198617</v>
      </c>
      <c r="T9" s="57" t="s">
        <v>69</v>
      </c>
      <c r="U9" s="40" t="s">
        <v>36</v>
      </c>
      <c r="W9" s="39"/>
    </row>
    <row r="10" spans="1:23" ht="267.75" customHeight="1" x14ac:dyDescent="0.3">
      <c r="A10" s="61"/>
      <c r="B10" s="20" t="s">
        <v>63</v>
      </c>
      <c r="C10" s="21" t="s">
        <v>16</v>
      </c>
      <c r="D10" s="22">
        <v>6721</v>
      </c>
      <c r="E10" s="11">
        <v>7000</v>
      </c>
      <c r="F10" s="13">
        <v>7660</v>
      </c>
      <c r="G10" s="11">
        <v>7700</v>
      </c>
      <c r="H10" s="13">
        <v>6052</v>
      </c>
      <c r="I10" s="11">
        <v>9100</v>
      </c>
      <c r="J10" s="11">
        <v>9555</v>
      </c>
      <c r="K10" s="11">
        <v>13400</v>
      </c>
      <c r="L10" s="13">
        <v>1959</v>
      </c>
      <c r="M10" s="11">
        <v>4716</v>
      </c>
      <c r="N10" s="11">
        <v>7755</v>
      </c>
      <c r="O10" s="11">
        <v>13848</v>
      </c>
      <c r="P10" s="12">
        <f t="shared" si="0"/>
        <v>1</v>
      </c>
      <c r="Q10" s="11">
        <v>13400</v>
      </c>
      <c r="R10" s="11">
        <f>+O10</f>
        <v>13848</v>
      </c>
      <c r="S10" s="24">
        <f t="shared" ref="S10:S18" si="1">+IF((R10/Q10&gt;100%),100%,(R10/Q10))</f>
        <v>1</v>
      </c>
      <c r="T10" s="58" t="s">
        <v>70</v>
      </c>
      <c r="U10" s="21" t="s">
        <v>36</v>
      </c>
    </row>
    <row r="11" spans="1:23" ht="408.75" customHeight="1" x14ac:dyDescent="0.3">
      <c r="A11" s="62"/>
      <c r="B11" s="20" t="s">
        <v>46</v>
      </c>
      <c r="C11" s="21" t="s">
        <v>16</v>
      </c>
      <c r="D11" s="22">
        <v>226</v>
      </c>
      <c r="E11" s="11" t="s">
        <v>17</v>
      </c>
      <c r="F11" s="13" t="s">
        <v>17</v>
      </c>
      <c r="G11" s="11">
        <v>221</v>
      </c>
      <c r="H11" s="13">
        <v>223</v>
      </c>
      <c r="I11" s="11">
        <v>217</v>
      </c>
      <c r="J11" s="11">
        <v>200</v>
      </c>
      <c r="K11" s="11">
        <v>336</v>
      </c>
      <c r="L11" s="13" t="s">
        <v>17</v>
      </c>
      <c r="M11" s="11">
        <f>39+12</f>
        <v>51</v>
      </c>
      <c r="N11" s="11">
        <f>+M11+18+21+51+10+1+2+12</f>
        <v>166</v>
      </c>
      <c r="O11" s="11">
        <f>+N11+5+8+12+107+2+5+99+8+14</f>
        <v>426</v>
      </c>
      <c r="P11" s="12">
        <f t="shared" si="0"/>
        <v>1</v>
      </c>
      <c r="Q11" s="11">
        <f>+G11+I11+K11</f>
        <v>774</v>
      </c>
      <c r="R11" s="11">
        <f>+H11+J11+O11</f>
        <v>849</v>
      </c>
      <c r="S11" s="12">
        <f>+IF((R11/Q11&gt;100%),100%,(R11/Q11))</f>
        <v>1</v>
      </c>
      <c r="T11" s="58" t="s">
        <v>71</v>
      </c>
      <c r="U11" s="21" t="s">
        <v>36</v>
      </c>
    </row>
    <row r="12" spans="1:23" ht="313.5" customHeight="1" x14ac:dyDescent="0.3">
      <c r="A12" s="85" t="s">
        <v>18</v>
      </c>
      <c r="B12" s="20" t="s">
        <v>19</v>
      </c>
      <c r="C12" s="21" t="s">
        <v>16</v>
      </c>
      <c r="D12" s="22">
        <v>1254</v>
      </c>
      <c r="E12" s="11">
        <v>1250</v>
      </c>
      <c r="F12" s="13">
        <v>1251</v>
      </c>
      <c r="G12" s="11">
        <v>1910</v>
      </c>
      <c r="H12" s="13">
        <v>2408</v>
      </c>
      <c r="I12" s="11">
        <v>1908</v>
      </c>
      <c r="J12" s="36">
        <v>2205</v>
      </c>
      <c r="K12" s="11">
        <v>1930</v>
      </c>
      <c r="L12" s="13">
        <v>2</v>
      </c>
      <c r="M12" s="11">
        <f>+L12+39+80</f>
        <v>121</v>
      </c>
      <c r="N12" s="11">
        <f>121+169+37+22+14</f>
        <v>363</v>
      </c>
      <c r="O12" s="36">
        <f>+N12+320+377+29+84+35+25+3+58+80+104</f>
        <v>1478</v>
      </c>
      <c r="P12" s="12">
        <f t="shared" si="0"/>
        <v>0.76580310880829017</v>
      </c>
      <c r="Q12" s="11">
        <f>+E12+G12+I12+K12</f>
        <v>6998</v>
      </c>
      <c r="R12" s="11">
        <f>+F12+H12+J12+O12</f>
        <v>7342</v>
      </c>
      <c r="S12" s="24">
        <f>+IF((R12/Q12&gt;100%),100%,(R12/Q12))</f>
        <v>1</v>
      </c>
      <c r="T12" s="58" t="s">
        <v>72</v>
      </c>
      <c r="U12" s="21" t="s">
        <v>37</v>
      </c>
    </row>
    <row r="13" spans="1:23" ht="315" customHeight="1" x14ac:dyDescent="0.3">
      <c r="A13" s="61"/>
      <c r="B13" s="44" t="s">
        <v>61</v>
      </c>
      <c r="C13" s="44" t="s">
        <v>34</v>
      </c>
      <c r="D13" s="44">
        <v>0</v>
      </c>
      <c r="E13" s="44">
        <v>4</v>
      </c>
      <c r="F13" s="44">
        <v>3</v>
      </c>
      <c r="G13" s="44">
        <v>6</v>
      </c>
      <c r="H13" s="44">
        <v>7</v>
      </c>
      <c r="I13" s="44">
        <v>8</v>
      </c>
      <c r="J13" s="44">
        <v>8</v>
      </c>
      <c r="K13" s="44">
        <v>17</v>
      </c>
      <c r="L13" s="44">
        <v>3</v>
      </c>
      <c r="M13" s="44">
        <f>+L13+2</f>
        <v>5</v>
      </c>
      <c r="N13" s="44">
        <f>+M13+1</f>
        <v>6</v>
      </c>
      <c r="O13" s="44">
        <f>+N13+11+1</f>
        <v>18</v>
      </c>
      <c r="P13" s="12">
        <f t="shared" si="0"/>
        <v>1</v>
      </c>
      <c r="Q13" s="11">
        <f>+E13+G13+I13+K13</f>
        <v>35</v>
      </c>
      <c r="R13" s="11">
        <f>+F13+H13+J13+O13</f>
        <v>36</v>
      </c>
      <c r="S13" s="24">
        <f>+IF((R13/Q13&gt;100%),100%,(R13/Q13))</f>
        <v>1</v>
      </c>
      <c r="T13" s="59" t="s">
        <v>73</v>
      </c>
      <c r="U13" s="41" t="s">
        <v>37</v>
      </c>
    </row>
    <row r="14" spans="1:23" ht="263.25" customHeight="1" x14ac:dyDescent="0.3">
      <c r="A14" s="62"/>
      <c r="B14" s="20" t="s">
        <v>64</v>
      </c>
      <c r="C14" s="21" t="s">
        <v>16</v>
      </c>
      <c r="D14" s="22">
        <v>259</v>
      </c>
      <c r="E14" s="11">
        <v>300</v>
      </c>
      <c r="F14" s="13">
        <v>321</v>
      </c>
      <c r="G14" s="11">
        <v>360</v>
      </c>
      <c r="H14" s="13">
        <v>545</v>
      </c>
      <c r="I14" s="11">
        <v>470</v>
      </c>
      <c r="J14" s="11">
        <v>595</v>
      </c>
      <c r="K14" s="11">
        <v>600</v>
      </c>
      <c r="L14" s="17">
        <v>69</v>
      </c>
      <c r="M14" s="11">
        <v>142</v>
      </c>
      <c r="N14" s="11">
        <f>+M14+82</f>
        <v>224</v>
      </c>
      <c r="O14" s="11">
        <f>+N14+71</f>
        <v>295</v>
      </c>
      <c r="P14" s="12">
        <f>+IF((O14/K14&gt;100%),100%,(O14/K14))</f>
        <v>0.49166666666666664</v>
      </c>
      <c r="Q14" s="11">
        <f>+K14</f>
        <v>600</v>
      </c>
      <c r="R14" s="11">
        <f>+O14</f>
        <v>295</v>
      </c>
      <c r="S14" s="24">
        <f>+IF((R14/Q14&gt;100%),100%,(R14/Q14))</f>
        <v>0.49166666666666664</v>
      </c>
      <c r="T14" s="33" t="s">
        <v>74</v>
      </c>
      <c r="U14" s="21" t="s">
        <v>37</v>
      </c>
    </row>
    <row r="15" spans="1:23" ht="244.5" customHeight="1" x14ac:dyDescent="0.3">
      <c r="A15" s="85" t="s">
        <v>21</v>
      </c>
      <c r="B15" s="20" t="s">
        <v>22</v>
      </c>
      <c r="C15" s="21" t="s">
        <v>16</v>
      </c>
      <c r="D15" s="22">
        <v>328340</v>
      </c>
      <c r="E15" s="11">
        <v>180000</v>
      </c>
      <c r="F15" s="13">
        <v>193993</v>
      </c>
      <c r="G15" s="11">
        <v>1053900</v>
      </c>
      <c r="H15" s="13">
        <v>1423025</v>
      </c>
      <c r="I15" s="11">
        <v>3874830</v>
      </c>
      <c r="J15" s="11">
        <v>10249825</v>
      </c>
      <c r="K15" s="11">
        <v>3891270</v>
      </c>
      <c r="L15" s="13">
        <f>603251+2714</f>
        <v>605965</v>
      </c>
      <c r="M15" s="11">
        <f>+L15+12614+30+106217+999017</f>
        <v>1723843</v>
      </c>
      <c r="N15" s="11">
        <f>+M15+2698+65246+339643+43078+171471+600</f>
        <v>2346579</v>
      </c>
      <c r="O15" s="11">
        <v>4569960</v>
      </c>
      <c r="P15" s="12">
        <f>+IF((O15/K15&gt;100%),100%,(O15/K15))</f>
        <v>1</v>
      </c>
      <c r="Q15" s="11">
        <v>15700000</v>
      </c>
      <c r="R15" s="11">
        <f>+H15+F15+J15+O15</f>
        <v>16436803</v>
      </c>
      <c r="S15" s="24">
        <f t="shared" si="1"/>
        <v>1</v>
      </c>
      <c r="T15" s="33" t="s">
        <v>68</v>
      </c>
      <c r="U15" s="21" t="s">
        <v>38</v>
      </c>
    </row>
    <row r="16" spans="1:23" ht="276.75" customHeight="1" x14ac:dyDescent="0.3">
      <c r="A16" s="61"/>
      <c r="B16" s="20" t="s">
        <v>23</v>
      </c>
      <c r="C16" s="21" t="s">
        <v>20</v>
      </c>
      <c r="D16" s="22">
        <v>2349339</v>
      </c>
      <c r="E16" s="11">
        <v>300000</v>
      </c>
      <c r="F16" s="13">
        <v>305995</v>
      </c>
      <c r="G16" s="11">
        <v>600000</v>
      </c>
      <c r="H16" s="13">
        <v>341253</v>
      </c>
      <c r="I16" s="11">
        <v>351247</v>
      </c>
      <c r="J16" s="11">
        <v>363491</v>
      </c>
      <c r="K16" s="11">
        <v>198753</v>
      </c>
      <c r="L16" s="13">
        <v>3000</v>
      </c>
      <c r="M16" s="11">
        <f>+L16+17000+254</f>
        <v>20254</v>
      </c>
      <c r="N16" s="11">
        <f>+M16+6+35000+14473</f>
        <v>69733</v>
      </c>
      <c r="O16" s="11">
        <v>382722</v>
      </c>
      <c r="P16" s="12">
        <f>+IF((O16/K16&gt;100%),100%,(O16/K16))</f>
        <v>1</v>
      </c>
      <c r="Q16" s="11">
        <f>+E16+G16+I16+K16</f>
        <v>1450000</v>
      </c>
      <c r="R16" s="11">
        <f>+H16+F16+J16+O16</f>
        <v>1393461</v>
      </c>
      <c r="S16" s="24">
        <f>+IF((R16/Q16&gt;100%),100%,(R16/Q16))</f>
        <v>0.96100758620689652</v>
      </c>
      <c r="T16" s="33" t="s">
        <v>75</v>
      </c>
      <c r="U16" s="21" t="s">
        <v>38</v>
      </c>
    </row>
    <row r="17" spans="1:21" ht="246.75" customHeight="1" x14ac:dyDescent="0.3">
      <c r="A17" s="85" t="s">
        <v>24</v>
      </c>
      <c r="B17" s="20" t="s">
        <v>65</v>
      </c>
      <c r="C17" s="21" t="s">
        <v>20</v>
      </c>
      <c r="D17" s="16">
        <v>0.69</v>
      </c>
      <c r="E17" s="12">
        <v>0.7</v>
      </c>
      <c r="F17" s="23">
        <v>0.79479999999999995</v>
      </c>
      <c r="G17" s="12">
        <v>0.8</v>
      </c>
      <c r="H17" s="16">
        <v>1</v>
      </c>
      <c r="I17" s="12">
        <v>1</v>
      </c>
      <c r="J17" s="11">
        <v>100</v>
      </c>
      <c r="K17" s="12">
        <v>1</v>
      </c>
      <c r="L17" s="13" t="s">
        <v>17</v>
      </c>
      <c r="M17" s="25">
        <v>0.2092</v>
      </c>
      <c r="N17" s="25">
        <v>0.24840000000000001</v>
      </c>
      <c r="O17" s="12">
        <v>1</v>
      </c>
      <c r="P17" s="12">
        <f>+IF((O17/K17&gt;100%),100%,(O17/K17))</f>
        <v>1</v>
      </c>
      <c r="Q17" s="12">
        <v>1</v>
      </c>
      <c r="R17" s="12">
        <f>+O17</f>
        <v>1</v>
      </c>
      <c r="S17" s="37">
        <f>+IF((R17/Q17&gt;100%),100%,(R17/Q17))</f>
        <v>1</v>
      </c>
      <c r="T17" s="33" t="s">
        <v>76</v>
      </c>
      <c r="U17" s="21" t="s">
        <v>37</v>
      </c>
    </row>
    <row r="18" spans="1:21" ht="216.75" customHeight="1" x14ac:dyDescent="0.3">
      <c r="A18" s="61"/>
      <c r="B18" s="20" t="s">
        <v>25</v>
      </c>
      <c r="C18" s="21" t="s">
        <v>20</v>
      </c>
      <c r="D18" s="22">
        <v>0</v>
      </c>
      <c r="E18" s="11">
        <v>3</v>
      </c>
      <c r="F18" s="13">
        <v>3</v>
      </c>
      <c r="G18" s="11">
        <v>3</v>
      </c>
      <c r="H18" s="13">
        <v>3</v>
      </c>
      <c r="I18" s="11">
        <v>2</v>
      </c>
      <c r="J18" s="11">
        <v>2</v>
      </c>
      <c r="K18" s="11">
        <v>0</v>
      </c>
      <c r="L18" s="13" t="s">
        <v>17</v>
      </c>
      <c r="M18" s="13" t="s">
        <v>17</v>
      </c>
      <c r="N18" s="13" t="s">
        <v>17</v>
      </c>
      <c r="O18" s="11"/>
      <c r="P18" s="36" t="s">
        <v>17</v>
      </c>
      <c r="Q18" s="11">
        <v>8</v>
      </c>
      <c r="R18" s="11">
        <f>+F18+H18+J18</f>
        <v>8</v>
      </c>
      <c r="S18" s="37">
        <f t="shared" si="1"/>
        <v>1</v>
      </c>
      <c r="T18" s="33" t="s">
        <v>62</v>
      </c>
      <c r="U18" s="21" t="s">
        <v>37</v>
      </c>
    </row>
    <row r="19" spans="1:21" ht="288.75" customHeight="1" x14ac:dyDescent="0.3">
      <c r="A19" s="61"/>
      <c r="B19" s="20" t="s">
        <v>26</v>
      </c>
      <c r="C19" s="21" t="s">
        <v>16</v>
      </c>
      <c r="D19" s="22" t="s">
        <v>17</v>
      </c>
      <c r="E19" s="11" t="s">
        <v>17</v>
      </c>
      <c r="F19" s="13">
        <v>2</v>
      </c>
      <c r="G19" s="11">
        <v>3</v>
      </c>
      <c r="H19" s="13">
        <v>3</v>
      </c>
      <c r="I19" s="11">
        <v>2</v>
      </c>
      <c r="J19" s="13">
        <v>0</v>
      </c>
      <c r="K19" s="11">
        <v>3</v>
      </c>
      <c r="L19" s="13" t="s">
        <v>17</v>
      </c>
      <c r="M19" s="13">
        <v>2</v>
      </c>
      <c r="N19" s="13">
        <f>+M19</f>
        <v>2</v>
      </c>
      <c r="O19" s="13">
        <v>3</v>
      </c>
      <c r="P19" s="12">
        <f>+IF((O19/K19&gt;100%),100%,(O19/K19))</f>
        <v>1</v>
      </c>
      <c r="Q19" s="11">
        <f>I19+G19+K19</f>
        <v>8</v>
      </c>
      <c r="R19" s="13">
        <f>+F19+H19+J19+O19</f>
        <v>8</v>
      </c>
      <c r="S19" s="37">
        <f>+IF((R19/Q19&gt;100%),100%,(R19/Q19))</f>
        <v>1</v>
      </c>
      <c r="T19" s="33" t="s">
        <v>77</v>
      </c>
      <c r="U19" s="21" t="s">
        <v>39</v>
      </c>
    </row>
    <row r="20" spans="1:21" ht="136.5" hidden="1" customHeight="1" x14ac:dyDescent="0.3">
      <c r="A20" s="62"/>
      <c r="B20" s="20" t="s">
        <v>27</v>
      </c>
      <c r="C20" s="21" t="s">
        <v>16</v>
      </c>
      <c r="D20" s="16">
        <v>0.46</v>
      </c>
      <c r="E20" s="24">
        <v>0.495</v>
      </c>
      <c r="F20" s="23">
        <v>0.64419999999999999</v>
      </c>
      <c r="G20" s="12">
        <v>0.53</v>
      </c>
      <c r="H20" s="12">
        <v>0.75600000000000001</v>
      </c>
      <c r="I20" s="25">
        <v>0.56499999999999995</v>
      </c>
      <c r="J20" s="13"/>
      <c r="K20" s="12">
        <v>0.6</v>
      </c>
      <c r="L20" s="13" t="s">
        <v>17</v>
      </c>
      <c r="M20" s="23"/>
      <c r="N20" s="13"/>
      <c r="O20" s="13"/>
      <c r="P20" s="12">
        <f t="shared" ref="P20:P23" si="2">+IF((O20/K20&gt;100%),100%,(O20/K20))</f>
        <v>0</v>
      </c>
      <c r="Q20" s="12">
        <v>0.6</v>
      </c>
      <c r="R20" s="16" t="e">
        <f>+#REF!</f>
        <v>#REF!</v>
      </c>
      <c r="S20" s="37" t="e">
        <f t="shared" ref="S20" si="3">+IF((R20/Q20&gt;100%),100%,(R20/Q20))</f>
        <v>#REF!</v>
      </c>
      <c r="T20" s="33"/>
      <c r="U20" s="21" t="s">
        <v>40</v>
      </c>
    </row>
    <row r="21" spans="1:21" ht="186.75" customHeight="1" x14ac:dyDescent="0.3">
      <c r="A21" s="20" t="s">
        <v>28</v>
      </c>
      <c r="B21" s="20" t="s">
        <v>60</v>
      </c>
      <c r="C21" s="21" t="s">
        <v>33</v>
      </c>
      <c r="D21" s="22">
        <v>0</v>
      </c>
      <c r="E21" s="11">
        <v>18</v>
      </c>
      <c r="F21" s="13">
        <v>20</v>
      </c>
      <c r="G21" s="11">
        <v>31</v>
      </c>
      <c r="H21" s="13">
        <v>30</v>
      </c>
      <c r="I21" s="11">
        <v>33</v>
      </c>
      <c r="J21" s="13">
        <v>33</v>
      </c>
      <c r="K21" s="11">
        <v>33</v>
      </c>
      <c r="L21" s="13" t="s">
        <v>17</v>
      </c>
      <c r="M21" s="13">
        <v>9</v>
      </c>
      <c r="N21" s="13">
        <f>+M21</f>
        <v>9</v>
      </c>
      <c r="O21" s="13">
        <v>17</v>
      </c>
      <c r="P21" s="12">
        <f t="shared" si="2"/>
        <v>0.51515151515151514</v>
      </c>
      <c r="Q21" s="11">
        <v>33</v>
      </c>
      <c r="R21" s="17">
        <f>+O21</f>
        <v>17</v>
      </c>
      <c r="S21" s="37">
        <f>+IF((R21/Q21&gt;100%),100%,(R21/Q21))</f>
        <v>0.51515151515151514</v>
      </c>
      <c r="T21" s="33" t="s">
        <v>78</v>
      </c>
      <c r="U21" s="21" t="s">
        <v>41</v>
      </c>
    </row>
    <row r="22" spans="1:21" ht="204" customHeight="1" x14ac:dyDescent="0.3">
      <c r="A22" s="26" t="s">
        <v>29</v>
      </c>
      <c r="B22" s="20" t="s">
        <v>66</v>
      </c>
      <c r="C22" s="21" t="s">
        <v>20</v>
      </c>
      <c r="D22" s="22">
        <v>3</v>
      </c>
      <c r="E22" s="11" t="s">
        <v>17</v>
      </c>
      <c r="F22" s="13" t="s">
        <v>17</v>
      </c>
      <c r="G22" s="11">
        <v>5</v>
      </c>
      <c r="H22" s="13">
        <v>5</v>
      </c>
      <c r="I22" s="11">
        <v>7</v>
      </c>
      <c r="J22" s="13">
        <v>7</v>
      </c>
      <c r="K22" s="11">
        <v>9</v>
      </c>
      <c r="L22" s="13">
        <v>1</v>
      </c>
      <c r="M22" s="13">
        <f>+L22+2</f>
        <v>3</v>
      </c>
      <c r="N22" s="13">
        <f>+M22+2+1</f>
        <v>6</v>
      </c>
      <c r="O22" s="13">
        <f>+N22+3</f>
        <v>9</v>
      </c>
      <c r="P22" s="12">
        <f t="shared" si="2"/>
        <v>1</v>
      </c>
      <c r="Q22" s="11">
        <f>+K22</f>
        <v>9</v>
      </c>
      <c r="R22" s="13">
        <f>+O22</f>
        <v>9</v>
      </c>
      <c r="S22" s="37">
        <f>+IF((R22/Q22&gt;100%),100%,(R22/Q22))</f>
        <v>1</v>
      </c>
      <c r="T22" s="33" t="s">
        <v>79</v>
      </c>
      <c r="U22" s="21" t="s">
        <v>43</v>
      </c>
    </row>
    <row r="23" spans="1:21" ht="409.5" customHeight="1" x14ac:dyDescent="0.3">
      <c r="A23" s="41" t="s">
        <v>30</v>
      </c>
      <c r="B23" s="41" t="s">
        <v>31</v>
      </c>
      <c r="C23" s="41" t="s">
        <v>34</v>
      </c>
      <c r="D23" s="43">
        <v>0.62</v>
      </c>
      <c r="E23" s="44" t="s">
        <v>17</v>
      </c>
      <c r="F23" s="45" t="s">
        <v>17</v>
      </c>
      <c r="G23" s="42">
        <v>0.86</v>
      </c>
      <c r="H23" s="42">
        <v>1.02</v>
      </c>
      <c r="I23" s="46">
        <v>0.96</v>
      </c>
      <c r="J23" s="46">
        <v>0.99150000000000005</v>
      </c>
      <c r="K23" s="49">
        <v>1</v>
      </c>
      <c r="L23" s="48">
        <v>0.67800000000000005</v>
      </c>
      <c r="M23" s="49">
        <v>0.82</v>
      </c>
      <c r="N23" s="50">
        <v>0.84</v>
      </c>
      <c r="O23" s="46">
        <v>0.98</v>
      </c>
      <c r="P23" s="12">
        <f t="shared" si="2"/>
        <v>0.98</v>
      </c>
      <c r="Q23" s="50">
        <v>1</v>
      </c>
      <c r="R23" s="55">
        <f>+O23</f>
        <v>0.98</v>
      </c>
      <c r="S23" s="37">
        <f>+IF((R23/Q23&gt;100%),100%,(R23/Q23))</f>
        <v>0.98</v>
      </c>
      <c r="T23" s="56" t="s">
        <v>80</v>
      </c>
      <c r="U23" s="51" t="s">
        <v>44</v>
      </c>
    </row>
    <row r="24" spans="1:21" ht="317.25" customHeight="1" x14ac:dyDescent="0.3">
      <c r="A24" s="26" t="s">
        <v>32</v>
      </c>
      <c r="B24" s="20" t="s">
        <v>49</v>
      </c>
      <c r="C24" s="21" t="s">
        <v>20</v>
      </c>
      <c r="D24" s="22" t="s">
        <v>50</v>
      </c>
      <c r="E24" s="11" t="s">
        <v>17</v>
      </c>
      <c r="F24" s="13" t="s">
        <v>17</v>
      </c>
      <c r="G24" s="11">
        <v>250000</v>
      </c>
      <c r="H24" s="13">
        <v>215607</v>
      </c>
      <c r="I24" s="11">
        <v>285000</v>
      </c>
      <c r="J24" s="13">
        <v>389975</v>
      </c>
      <c r="K24" s="11">
        <v>250000</v>
      </c>
      <c r="L24" s="13">
        <v>12870</v>
      </c>
      <c r="M24" s="34">
        <v>92180</v>
      </c>
      <c r="N24" s="13">
        <f>+M24+23828+21297</f>
        <v>137305</v>
      </c>
      <c r="O24" s="13">
        <f>+N24+114047+14604</f>
        <v>265956</v>
      </c>
      <c r="P24" s="12">
        <f>+IF((O24/K24&gt;100%),100%,(O24/K24))</f>
        <v>1</v>
      </c>
      <c r="Q24" s="11">
        <v>750000</v>
      </c>
      <c r="R24" s="13">
        <f>+H24+J24+O24</f>
        <v>871538</v>
      </c>
      <c r="S24" s="24">
        <f>+IF((R24/Q24&gt;100%),100%,(R24/Q24))</f>
        <v>1</v>
      </c>
      <c r="T24" s="33" t="s">
        <v>81</v>
      </c>
      <c r="U24" s="21" t="s">
        <v>45</v>
      </c>
    </row>
    <row r="25" spans="1:21" ht="48" customHeight="1" x14ac:dyDescent="0.3">
      <c r="A25" s="27"/>
      <c r="B25" s="28"/>
      <c r="C25" s="29"/>
      <c r="D25" s="29"/>
      <c r="E25" s="30"/>
      <c r="F25" s="14"/>
      <c r="G25" s="14"/>
      <c r="H25" s="14"/>
      <c r="I25" s="30"/>
      <c r="J25" s="14"/>
      <c r="K25" s="30"/>
      <c r="L25" s="14"/>
      <c r="M25" s="14"/>
      <c r="N25" s="14"/>
      <c r="O25" s="14"/>
      <c r="P25" s="14"/>
      <c r="Q25" s="30"/>
      <c r="R25" s="14"/>
      <c r="S25" s="14"/>
      <c r="T25" s="14"/>
      <c r="U25" s="29"/>
    </row>
    <row r="26" spans="1:21" ht="66.75" customHeight="1" x14ac:dyDescent="0.3">
      <c r="A26" s="83" t="s">
        <v>56</v>
      </c>
      <c r="B26" s="84"/>
      <c r="C26" s="84"/>
      <c r="D26" s="84"/>
      <c r="E26" s="84"/>
      <c r="F26" s="84"/>
      <c r="G26" s="84"/>
      <c r="H26" s="84"/>
      <c r="I26" s="84"/>
      <c r="J26" s="84"/>
      <c r="K26" s="84"/>
      <c r="L26" s="84"/>
      <c r="M26" s="84"/>
      <c r="N26" s="84"/>
      <c r="O26" s="84"/>
      <c r="P26" s="84"/>
      <c r="Q26" s="84"/>
      <c r="R26" s="84"/>
      <c r="S26" s="84"/>
      <c r="T26" s="84"/>
      <c r="U26" s="84"/>
    </row>
    <row r="27" spans="1:21" ht="46.5" customHeight="1" x14ac:dyDescent="0.3">
      <c r="A27" s="83" t="s">
        <v>67</v>
      </c>
      <c r="B27" s="84"/>
      <c r="C27" s="84"/>
      <c r="D27" s="84"/>
      <c r="E27" s="84"/>
      <c r="F27" s="84"/>
      <c r="G27" s="84"/>
      <c r="H27" s="84"/>
      <c r="I27" s="84"/>
      <c r="J27" s="84"/>
      <c r="K27" s="84"/>
      <c r="L27" s="84"/>
      <c r="M27" s="84"/>
      <c r="N27" s="84"/>
      <c r="O27" s="84"/>
      <c r="P27" s="84"/>
      <c r="Q27" s="84"/>
      <c r="R27" s="84"/>
      <c r="S27" s="84"/>
      <c r="T27" s="84"/>
      <c r="U27" s="84"/>
    </row>
  </sheetData>
  <mergeCells count="30">
    <mergeCell ref="T3:U3"/>
    <mergeCell ref="G7:G8"/>
    <mergeCell ref="H7:H8"/>
    <mergeCell ref="R7:R8"/>
    <mergeCell ref="U7:U8"/>
    <mergeCell ref="Q7:Q8"/>
    <mergeCell ref="P7:P8"/>
    <mergeCell ref="J7:J8"/>
    <mergeCell ref="L7:O7"/>
    <mergeCell ref="A27:U27"/>
    <mergeCell ref="A26:U26"/>
    <mergeCell ref="A12:A14"/>
    <mergeCell ref="A15:A16"/>
    <mergeCell ref="A17:A20"/>
    <mergeCell ref="A9:A11"/>
    <mergeCell ref="K7:K8"/>
    <mergeCell ref="S7:S8"/>
    <mergeCell ref="A1:B3"/>
    <mergeCell ref="A7:A8"/>
    <mergeCell ref="B7:B8"/>
    <mergeCell ref="C7:C8"/>
    <mergeCell ref="D7:D8"/>
    <mergeCell ref="E7:E8"/>
    <mergeCell ref="I7:I8"/>
    <mergeCell ref="F7:F8"/>
    <mergeCell ref="C1:S3"/>
    <mergeCell ref="A5:T5"/>
    <mergeCell ref="T7:T8"/>
    <mergeCell ref="T1:U1"/>
    <mergeCell ref="T2:U2"/>
  </mergeCells>
  <printOptions horizontalCentered="1" verticalCentered="1"/>
  <pageMargins left="0.43307086614173229" right="0.43307086614173229" top="0.74803149606299213" bottom="0.55118110236220474" header="0.31496062992125984" footer="0.11811023622047245"/>
  <pageSetup scale="28" fitToHeight="0" orientation="landscape" r:id="rId1"/>
  <headerFooter differentFirst="1">
    <oddFooter>&amp;RPágina &amp;P de &amp;N</oddFooter>
  </headerFooter>
  <rowBreaks count="4" manualBreakCount="4">
    <brk id="11" max="23" man="1"/>
    <brk id="14" max="23" man="1"/>
    <brk id="16" max="23" man="1"/>
    <brk id="1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 4to trimestre </vt:lpstr>
      <vt:lpstr>'Seguimiento PEI 4to trimestre '!Área_de_impresión</vt:lpstr>
      <vt:lpstr>'Seguimiento PEI 4to trimestre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2018-07-30T21:03:33Z</cp:lastPrinted>
  <dcterms:created xsi:type="dcterms:W3CDTF">2016-06-27T17:21:45Z</dcterms:created>
  <dcterms:modified xsi:type="dcterms:W3CDTF">2019-03-05T21:01:44Z</dcterms:modified>
</cp:coreProperties>
</file>